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v - Adm Svc\Distribution &amp; Statistics\LCB Roll Documents\FY 25\04. October Roll Documents\"/>
    </mc:Choice>
  </mc:AlternateContent>
  <xr:revisionPtr revIDLastSave="0" documentId="13_ncr:1_{BB18FC38-11D9-4080-A1E5-BB5FA6975A7A}" xr6:coauthVersionLast="47" xr6:coauthVersionMax="47" xr10:uidLastSave="{00000000-0000-0000-0000-000000000000}"/>
  <bookViews>
    <workbookView xWindow="-28920" yWindow="-120" windowWidth="29040" windowHeight="15720" activeTab="4" xr2:uid="{FE1A565B-FF18-4D4A-9463-1FF82ED766E5}"/>
  </bookViews>
  <sheets>
    <sheet name="FY24" sheetId="1" r:id="rId1"/>
    <sheet name="JUL" sheetId="3" r:id="rId2"/>
    <sheet name="AUG" sheetId="4" r:id="rId3"/>
    <sheet name="SEP" sheetId="5" r:id="rId4"/>
    <sheet name="Memo" sheetId="7" r:id="rId5"/>
    <sheet name="OCT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6" l="1"/>
  <c r="B9" i="6"/>
  <c r="C9" i="6"/>
  <c r="D9" i="6" s="1"/>
  <c r="F9" i="6"/>
  <c r="G9" i="6"/>
  <c r="G15" i="6" s="1"/>
  <c r="G20" i="6" s="1"/>
  <c r="H9" i="6"/>
  <c r="I9" i="6"/>
  <c r="B10" i="6"/>
  <c r="F10" i="6" s="1"/>
  <c r="C10" i="6"/>
  <c r="D10" i="6" s="1"/>
  <c r="E10" i="6" s="1"/>
  <c r="G10" i="6"/>
  <c r="B11" i="6"/>
  <c r="C11" i="6"/>
  <c r="G11" i="6"/>
  <c r="B12" i="6"/>
  <c r="C12" i="6"/>
  <c r="G12" i="6"/>
  <c r="C13" i="6"/>
  <c r="D13" i="6"/>
  <c r="E13" i="6"/>
  <c r="F13" i="6"/>
  <c r="H13" i="6" s="1"/>
  <c r="I13" i="6" s="1"/>
  <c r="G13" i="6"/>
  <c r="B15" i="6"/>
  <c r="B20" i="6" s="1"/>
  <c r="D17" i="6"/>
  <c r="E17" i="6"/>
  <c r="F17" i="6"/>
  <c r="G17" i="6"/>
  <c r="H17" i="6"/>
  <c r="I17" i="6"/>
  <c r="D18" i="6"/>
  <c r="E18" i="6"/>
  <c r="F18" i="6"/>
  <c r="G18" i="6"/>
  <c r="C25" i="6"/>
  <c r="D25" i="6" s="1"/>
  <c r="F25" i="6"/>
  <c r="G25" i="6"/>
  <c r="H25" i="6"/>
  <c r="I25" i="6" s="1"/>
  <c r="C26" i="6"/>
  <c r="D26" i="6" s="1"/>
  <c r="E26" i="6" s="1"/>
  <c r="F26" i="6"/>
  <c r="H26" i="6" s="1"/>
  <c r="I26" i="6" s="1"/>
  <c r="G26" i="6"/>
  <c r="C27" i="6"/>
  <c r="G27" i="6"/>
  <c r="C28" i="6"/>
  <c r="D28" i="6"/>
  <c r="E28" i="6"/>
  <c r="F28" i="6"/>
  <c r="H28" i="6" s="1"/>
  <c r="I28" i="6" s="1"/>
  <c r="G28" i="6"/>
  <c r="B29" i="6"/>
  <c r="C29" i="6"/>
  <c r="D29" i="6" s="1"/>
  <c r="E29" i="6" s="1"/>
  <c r="F29" i="6"/>
  <c r="G29" i="6"/>
  <c r="C30" i="6"/>
  <c r="E30" i="6" s="1"/>
  <c r="D30" i="6"/>
  <c r="F30" i="6"/>
  <c r="G30" i="6"/>
  <c r="H30" i="6"/>
  <c r="I30" i="6" s="1"/>
  <c r="B31" i="6"/>
  <c r="F31" i="6" s="1"/>
  <c r="C31" i="6"/>
  <c r="D31" i="6" s="1"/>
  <c r="E31" i="6" s="1"/>
  <c r="G31" i="6"/>
  <c r="C32" i="6"/>
  <c r="D32" i="6" s="1"/>
  <c r="F32" i="6"/>
  <c r="G32" i="6"/>
  <c r="C33" i="6"/>
  <c r="D33" i="6" s="1"/>
  <c r="E33" i="6"/>
  <c r="F33" i="6"/>
  <c r="G33" i="6"/>
  <c r="H33" i="6"/>
  <c r="I33" i="6" s="1"/>
  <c r="C34" i="6"/>
  <c r="D34" i="6" s="1"/>
  <c r="E34" i="6"/>
  <c r="F34" i="6"/>
  <c r="G34" i="6"/>
  <c r="B36" i="6"/>
  <c r="F36" i="6" s="1"/>
  <c r="C36" i="6"/>
  <c r="D36" i="6" s="1"/>
  <c r="E36" i="6" s="1"/>
  <c r="G36" i="6"/>
  <c r="B37" i="6"/>
  <c r="F37" i="6" s="1"/>
  <c r="C37" i="6"/>
  <c r="D37" i="6"/>
  <c r="E37" i="6" s="1"/>
  <c r="G37" i="6"/>
  <c r="C38" i="6"/>
  <c r="D38" i="6" s="1"/>
  <c r="E38" i="6" s="1"/>
  <c r="F38" i="6"/>
  <c r="G38" i="6"/>
  <c r="H38" i="6"/>
  <c r="I38" i="6"/>
  <c r="B39" i="6"/>
  <c r="F39" i="6" s="1"/>
  <c r="H39" i="6" s="1"/>
  <c r="I39" i="6" s="1"/>
  <c r="C39" i="6"/>
  <c r="D39" i="6" s="1"/>
  <c r="E39" i="6" s="1"/>
  <c r="G39" i="6"/>
  <c r="B40" i="6"/>
  <c r="C40" i="6"/>
  <c r="D40" i="6" s="1"/>
  <c r="E40" i="6" s="1"/>
  <c r="F40" i="6"/>
  <c r="G40" i="6"/>
  <c r="H40" i="6" s="1"/>
  <c r="I40" i="6" s="1"/>
  <c r="B41" i="6"/>
  <c r="C41" i="6"/>
  <c r="G41" i="6"/>
  <c r="G41" i="4"/>
  <c r="F41" i="4"/>
  <c r="C41" i="4"/>
  <c r="D41" i="4" s="1"/>
  <c r="E41" i="4" s="1"/>
  <c r="G40" i="4"/>
  <c r="F40" i="4"/>
  <c r="C40" i="4"/>
  <c r="D40" i="4" s="1"/>
  <c r="E40" i="4" s="1"/>
  <c r="G39" i="4"/>
  <c r="F39" i="4"/>
  <c r="C39" i="4"/>
  <c r="D39" i="4" s="1"/>
  <c r="E39" i="4" s="1"/>
  <c r="G38" i="4"/>
  <c r="F38" i="4"/>
  <c r="H38" i="4" s="1"/>
  <c r="C38" i="4"/>
  <c r="G37" i="4"/>
  <c r="F37" i="4"/>
  <c r="C37" i="4"/>
  <c r="D37" i="4" s="1"/>
  <c r="E37" i="4" s="1"/>
  <c r="B37" i="4"/>
  <c r="G36" i="4"/>
  <c r="F36" i="4"/>
  <c r="C36" i="4"/>
  <c r="B36" i="4"/>
  <c r="G34" i="4"/>
  <c r="I34" i="4" s="1"/>
  <c r="F34" i="4"/>
  <c r="C34" i="4"/>
  <c r="E34" i="4" s="1"/>
  <c r="G33" i="4"/>
  <c r="I33" i="4" s="1"/>
  <c r="F33" i="4"/>
  <c r="C33" i="4"/>
  <c r="E33" i="4" s="1"/>
  <c r="G32" i="4"/>
  <c r="I32" i="4" s="1"/>
  <c r="F32" i="4"/>
  <c r="C32" i="4"/>
  <c r="E32" i="4" s="1"/>
  <c r="G31" i="4"/>
  <c r="F31" i="4"/>
  <c r="C31" i="4"/>
  <c r="B31" i="4"/>
  <c r="G30" i="4"/>
  <c r="F30" i="4"/>
  <c r="C30" i="4"/>
  <c r="E30" i="4" s="1"/>
  <c r="G29" i="4"/>
  <c r="F29" i="4"/>
  <c r="C29" i="4"/>
  <c r="B29" i="4"/>
  <c r="G28" i="4"/>
  <c r="I28" i="4" s="1"/>
  <c r="F28" i="4"/>
  <c r="H28" i="4" s="1"/>
  <c r="C28" i="4"/>
  <c r="E28" i="4" s="1"/>
  <c r="G27" i="4"/>
  <c r="F27" i="4"/>
  <c r="H27" i="4" s="1"/>
  <c r="C27" i="4"/>
  <c r="G26" i="4"/>
  <c r="F26" i="4"/>
  <c r="C26" i="4"/>
  <c r="B26" i="4"/>
  <c r="G25" i="4"/>
  <c r="F25" i="4"/>
  <c r="C25" i="4"/>
  <c r="B25" i="4"/>
  <c r="I18" i="4"/>
  <c r="F18" i="4"/>
  <c r="H18" i="4" s="1"/>
  <c r="E18" i="4"/>
  <c r="D18" i="4"/>
  <c r="I17" i="4"/>
  <c r="F17" i="4"/>
  <c r="H17" i="4" s="1"/>
  <c r="E17" i="4"/>
  <c r="D17" i="4"/>
  <c r="B15" i="4"/>
  <c r="B20" i="4" s="1"/>
  <c r="G13" i="4"/>
  <c r="F13" i="4"/>
  <c r="C13" i="4"/>
  <c r="G12" i="4"/>
  <c r="F12" i="4"/>
  <c r="H12" i="4" s="1"/>
  <c r="C12" i="4"/>
  <c r="G11" i="4"/>
  <c r="F11" i="4"/>
  <c r="C11" i="4"/>
  <c r="G10" i="4"/>
  <c r="F10" i="4"/>
  <c r="C10" i="4"/>
  <c r="D10" i="4" s="1"/>
  <c r="G9" i="4"/>
  <c r="F9" i="4"/>
  <c r="C9" i="4"/>
  <c r="N6" i="4"/>
  <c r="N7" i="4" s="1"/>
  <c r="P40" i="1"/>
  <c r="P38" i="1"/>
  <c r="P37" i="1"/>
  <c r="P36" i="1"/>
  <c r="P35" i="1"/>
  <c r="P34" i="1"/>
  <c r="P33" i="1"/>
  <c r="P31" i="1"/>
  <c r="P30" i="1"/>
  <c r="P29" i="1"/>
  <c r="P28" i="1"/>
  <c r="P27" i="1"/>
  <c r="P26" i="1"/>
  <c r="P25" i="1"/>
  <c r="P24" i="1"/>
  <c r="P23" i="1"/>
  <c r="P22" i="1"/>
  <c r="P18" i="1"/>
  <c r="P16" i="1"/>
  <c r="P15" i="1"/>
  <c r="P13" i="1"/>
  <c r="P11" i="1"/>
  <c r="P10" i="1"/>
  <c r="P9" i="1"/>
  <c r="P8" i="1"/>
  <c r="P7" i="1"/>
  <c r="H31" i="6" l="1"/>
  <c r="I31" i="6" s="1"/>
  <c r="D12" i="6"/>
  <c r="E12" i="6" s="1"/>
  <c r="H18" i="6"/>
  <c r="I18" i="6" s="1"/>
  <c r="H9" i="4"/>
  <c r="H37" i="6"/>
  <c r="I37" i="6" s="1"/>
  <c r="E32" i="6"/>
  <c r="H36" i="6"/>
  <c r="I36" i="6" s="1"/>
  <c r="D11" i="6"/>
  <c r="E11" i="6" s="1"/>
  <c r="G44" i="6"/>
  <c r="D41" i="6"/>
  <c r="E41" i="6" s="1"/>
  <c r="C15" i="6"/>
  <c r="C20" i="6" s="1"/>
  <c r="H32" i="6"/>
  <c r="I32" i="6" s="1"/>
  <c r="D27" i="6"/>
  <c r="E27" i="6" s="1"/>
  <c r="H34" i="6"/>
  <c r="I34" i="6" s="1"/>
  <c r="H29" i="6"/>
  <c r="I29" i="6" s="1"/>
  <c r="H34" i="4"/>
  <c r="H10" i="6"/>
  <c r="I10" i="6" s="1"/>
  <c r="E25" i="6"/>
  <c r="C44" i="6"/>
  <c r="F11" i="6"/>
  <c r="H11" i="6" s="1"/>
  <c r="I11" i="6" s="1"/>
  <c r="B44" i="6"/>
  <c r="E9" i="6"/>
  <c r="F41" i="6"/>
  <c r="H41" i="6" s="1"/>
  <c r="I41" i="6" s="1"/>
  <c r="F27" i="6"/>
  <c r="F12" i="6"/>
  <c r="H12" i="6" s="1"/>
  <c r="I12" i="6" s="1"/>
  <c r="H40" i="4"/>
  <c r="I40" i="4" s="1"/>
  <c r="H11" i="4"/>
  <c r="I11" i="4" s="1"/>
  <c r="H36" i="4"/>
  <c r="I36" i="4" s="1"/>
  <c r="D36" i="4"/>
  <c r="E36" i="4" s="1"/>
  <c r="D25" i="4"/>
  <c r="D26" i="4"/>
  <c r="E26" i="4" s="1"/>
  <c r="H26" i="4"/>
  <c r="I26" i="4" s="1"/>
  <c r="H39" i="4"/>
  <c r="I39" i="4" s="1"/>
  <c r="D13" i="4"/>
  <c r="E13" i="4" s="1"/>
  <c r="H13" i="4"/>
  <c r="I13" i="4" s="1"/>
  <c r="F15" i="4"/>
  <c r="F20" i="4" s="1"/>
  <c r="G15" i="4"/>
  <c r="G20" i="4" s="1"/>
  <c r="H32" i="4"/>
  <c r="D9" i="4"/>
  <c r="E9" i="4" s="1"/>
  <c r="H30" i="4"/>
  <c r="D28" i="4"/>
  <c r="D31" i="4"/>
  <c r="E31" i="4" s="1"/>
  <c r="I38" i="4"/>
  <c r="D30" i="4"/>
  <c r="C44" i="4"/>
  <c r="H31" i="4"/>
  <c r="I31" i="4" s="1"/>
  <c r="H25" i="4"/>
  <c r="G44" i="4"/>
  <c r="D11" i="4"/>
  <c r="E11" i="4" s="1"/>
  <c r="D29" i="4"/>
  <c r="E29" i="4" s="1"/>
  <c r="H37" i="4"/>
  <c r="I37" i="4" s="1"/>
  <c r="H29" i="4"/>
  <c r="I29" i="4" s="1"/>
  <c r="H33" i="4"/>
  <c r="H41" i="4"/>
  <c r="I41" i="4" s="1"/>
  <c r="I27" i="4"/>
  <c r="I12" i="4"/>
  <c r="I9" i="4"/>
  <c r="I30" i="4"/>
  <c r="D12" i="4"/>
  <c r="E12" i="4" s="1"/>
  <c r="E25" i="4"/>
  <c r="D27" i="4"/>
  <c r="E27" i="4" s="1"/>
  <c r="E10" i="4"/>
  <c r="D33" i="4"/>
  <c r="H10" i="4"/>
  <c r="D38" i="4"/>
  <c r="E38" i="4" s="1"/>
  <c r="I10" i="4"/>
  <c r="B44" i="4"/>
  <c r="F44" i="4"/>
  <c r="C15" i="4"/>
  <c r="C20" i="4" s="1"/>
  <c r="D32" i="4"/>
  <c r="D34" i="4"/>
  <c r="D15" i="6" l="1"/>
  <c r="D44" i="6"/>
  <c r="H27" i="6"/>
  <c r="F44" i="6"/>
  <c r="E15" i="6"/>
  <c r="D20" i="6"/>
  <c r="E20" i="6" s="1"/>
  <c r="E44" i="6"/>
  <c r="H15" i="6"/>
  <c r="F15" i="6"/>
  <c r="F20" i="6" s="1"/>
  <c r="D15" i="4"/>
  <c r="E15" i="4" s="1"/>
  <c r="H15" i="4"/>
  <c r="H20" i="4" s="1"/>
  <c r="I20" i="4" s="1"/>
  <c r="H44" i="4"/>
  <c r="I44" i="4" s="1"/>
  <c r="I25" i="4"/>
  <c r="D44" i="4"/>
  <c r="E44" i="4" s="1"/>
  <c r="I15" i="4" l="1"/>
  <c r="D20" i="4"/>
  <c r="E20" i="4" s="1"/>
  <c r="I15" i="6"/>
  <c r="H20" i="6"/>
  <c r="I20" i="6" s="1"/>
  <c r="H44" i="6"/>
  <c r="I44" i="6" s="1"/>
  <c r="I27" i="6"/>
</calcChain>
</file>

<file path=xl/sharedStrings.xml><?xml version="1.0" encoding="utf-8"?>
<sst xmlns="http://schemas.openxmlformats.org/spreadsheetml/2006/main" count="440" uniqueCount="81">
  <si>
    <t>GROSS REVENUE COMPARISONS</t>
  </si>
  <si>
    <t>FOR FISCAL YEAR 2023</t>
  </si>
  <si>
    <t>SALES &amp; BUSINESS TAX COLLECTIONS</t>
  </si>
  <si>
    <t>TOTAL</t>
  </si>
  <si>
    <t>--------------------------------------------------------</t>
  </si>
  <si>
    <t>-</t>
  </si>
  <si>
    <t>2% SALES TAX</t>
  </si>
  <si>
    <t>2.6% LOCAL SCHOOL SUPPORT TAX</t>
  </si>
  <si>
    <t>1/2% BASIC CITY/COUNTY RELIEF TAX</t>
  </si>
  <si>
    <t>1 3/4% SUPPLEMENTAL CITY/COUNTY RELIEF TAX</t>
  </si>
  <si>
    <t>COUNTY OPTIONAL TAX</t>
  </si>
  <si>
    <t xml:space="preserve">    SUBTOTAL SALES TAX</t>
  </si>
  <si>
    <t>BUSINESS LICENSE FEE</t>
  </si>
  <si>
    <t>MODIFIED BUSINESS TAX</t>
  </si>
  <si>
    <t xml:space="preserve">   TOTAL SALES &amp; BUSINESS TAX</t>
  </si>
  <si>
    <t>EXCISE TAXES COLLECTIONS</t>
  </si>
  <si>
    <t>------------------------------------------------</t>
  </si>
  <si>
    <t>CIGARETTE TAX</t>
  </si>
  <si>
    <t>OTHER TOBACCO TAX</t>
  </si>
  <si>
    <t>LIQUOR TAX</t>
  </si>
  <si>
    <t>INSURANCE PREMIUM TAX</t>
  </si>
  <si>
    <t>TIRE TAX</t>
  </si>
  <si>
    <t>GOVERNMENTAL SERVICES TAX</t>
  </si>
  <si>
    <t>LIVE ENTERTAINMENT TAX</t>
  </si>
  <si>
    <t>BANK EXCISE TAX</t>
  </si>
  <si>
    <t>REAL PROPERTY TRANSFER TAX</t>
  </si>
  <si>
    <t>LODGING TAX</t>
  </si>
  <si>
    <t xml:space="preserve">  3/8% FOR TOURISM</t>
  </si>
  <si>
    <t xml:space="preserve">  3% TO SCHOOL SUPPORT FUND</t>
  </si>
  <si>
    <t>TRANSPORTATION CONNECTION TAX</t>
  </si>
  <si>
    <t>COMMERCE TAX</t>
  </si>
  <si>
    <t>REATIL CANNABIS TAX</t>
  </si>
  <si>
    <t>WHOLESALE CANNABIS TAX</t>
  </si>
  <si>
    <t xml:space="preserve">   TOTAL EXCISE TAXES</t>
  </si>
  <si>
    <t xml:space="preserve">PREPARED BY DEPARTMENT OF TAXATION </t>
  </si>
  <si>
    <t>DIFFERENCE</t>
  </si>
  <si>
    <t>FISCAL</t>
  </si>
  <si>
    <t>PRIOR FISCAL</t>
  </si>
  <si>
    <t>AMOUNT</t>
  </si>
  <si>
    <t>PERCENT</t>
  </si>
  <si>
    <t>YEAR TO DATE</t>
  </si>
  <si>
    <t>----------------------------------------------------------</t>
  </si>
  <si>
    <t>--------------------------------------------------</t>
  </si>
  <si>
    <t>GOVERNMENTAL SERVICES FEE-SHRT TERM LESSOR</t>
  </si>
  <si>
    <t>------------------------------</t>
  </si>
  <si>
    <t>------------------------</t>
  </si>
  <si>
    <t>------------------</t>
  </si>
  <si>
    <t>--------------------------</t>
  </si>
  <si>
    <t>-------------------------</t>
  </si>
  <si>
    <t>-----------------------</t>
  </si>
  <si>
    <t>-----------------</t>
  </si>
  <si>
    <t>RETAIL CANNABIS TAX</t>
  </si>
  <si>
    <t>JULY 2023</t>
  </si>
  <si>
    <t>EXCISE TAXES-FY24 JULY ACTIVITY/AUGUST COLLECTIONS</t>
  </si>
  <si>
    <t>GOLD AND SILVER EXCISE TAX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</si>
  <si>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</si>
  <si>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</si>
  <si>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</si>
  <si>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</si>
  <si>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</si>
  <si>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</si>
  <si>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</si>
  <si>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</si>
  <si>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</si>
  <si>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</si>
  <si>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</si>
  <si>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FOR JULY 2024 VS JULY 2023</t>
  </si>
  <si>
    <t>JULY 2024</t>
  </si>
  <si>
    <t>SALES &amp; BUSINESS TAX-FY25 JULY ACTIVITY/AUGUST COLLECTIONS</t>
  </si>
  <si>
    <t>EXCISE TAXES-FY24 AUGUST ACTIVITY/SEPTEMBER COLLECTIONS</t>
  </si>
  <si>
    <t>SALES &amp; BUSINESS TAX-FY25 AUGUST ACTIVITY/SEPTEMBER COLLECTIONS</t>
  </si>
  <si>
    <t>AUGUST 2024</t>
  </si>
  <si>
    <t>FOR AUGUST 2024 VS AUGUST 2023</t>
  </si>
  <si>
    <t>EXCISE TAXES-FY24 SEPTEMBER ACTIVITY/OCTOBER COLLECTIONS</t>
  </si>
  <si>
    <t>SALES &amp; BUSINESS TAX-FY25 SEPTEMBER ACTIVITY/OCTOBER COLLECTIONS</t>
  </si>
  <si>
    <t>SEPTEMBER 2024</t>
  </si>
  <si>
    <t>FOR SEPTEMBER 2024 VS SEPTEMBER 2023</t>
  </si>
  <si>
    <t>EXCISE TAXES-FY24 OCTOBER ACTIVITY/NOVEMBER COLLECTIONS</t>
  </si>
  <si>
    <t>SALES &amp; BUSINESS TAX-FY25 OCTOBER ACTIVITY/NOVEMBER COLLECTIONS</t>
  </si>
  <si>
    <t>OCTOBER 2024</t>
  </si>
  <si>
    <t>FOR OCTOBER 2024 VS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</si>
</sst>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DengX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63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4">
    <xf numFmtId="0" fontId="0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4" fillId="2" borderId="1" applyNumberFormat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9" fillId="0" borderId="0" xfId="2" applyAlignment="1">
      <alignment horizontal="left"/>
    </xf>
    <xf numFmtId="0" fontId="10" fillId="0" borderId="0" xfId="3" quotePrefix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3" applyAlignment="1">
      <alignment wrapText="1"/>
    </xf>
    <xf numFmtId="0" fontId="9" fillId="0" borderId="0" xfId="2"/>
    <xf numFmtId="0" fontId="9" fillId="0" borderId="0" xfId="2" applyAlignment="1">
      <alignment horizontal="center"/>
    </xf>
    <xf numFmtId="8" fontId="9" fillId="0" borderId="0" xfId="2" applyNumberFormat="1"/>
    <xf numFmtId="164" fontId="9" fillId="0" borderId="0" xfId="2" applyNumberFormat="1" applyAlignment="1">
      <alignment horizontal="center"/>
    </xf>
    <xf numFmtId="164" fontId="9" fillId="0" borderId="0" xfId="2" quotePrefix="1" applyNumberFormat="1" applyAlignment="1">
      <alignment horizontal="center"/>
    </xf>
    <xf numFmtId="0" fontId="9" fillId="0" borderId="0" xfId="2" quotePrefix="1" applyAlignment="1">
      <alignment horizontal="center"/>
    </xf>
    <xf numFmtId="49" fontId="9" fillId="0" borderId="0" xfId="2" quotePrefix="1" applyNumberFormat="1" applyAlignment="1">
      <alignment horizontal="center"/>
    </xf>
    <xf numFmtId="164" fontId="9" fillId="0" borderId="0" xfId="2" applyNumberFormat="1" applyAlignment="1">
      <alignment horizontal="fill"/>
    </xf>
    <xf numFmtId="7" fontId="9" fillId="0" borderId="0" xfId="2" applyNumberFormat="1" applyAlignment="1">
      <alignment horizontal="fill"/>
    </xf>
    <xf numFmtId="7" fontId="9" fillId="0" borderId="0" xfId="2" applyNumberFormat="1"/>
    <xf numFmtId="0" fontId="10" fillId="0" borderId="0" xfId="2" quotePrefix="1" applyFont="1" applyAlignment="1">
      <alignment horizontal="left"/>
    </xf>
    <xf numFmtId="164" fontId="9" fillId="0" borderId="0" xfId="2" applyNumberFormat="1"/>
    <xf numFmtId="10" fontId="9" fillId="0" borderId="0" xfId="2" applyNumberFormat="1"/>
    <xf numFmtId="5" fontId="9" fillId="0" borderId="0" xfId="2" applyNumberFormat="1"/>
    <xf numFmtId="164" fontId="9" fillId="0" borderId="0" xfId="2" applyNumberFormat="1" applyProtection="1">
      <protection hidden="1"/>
    </xf>
    <xf numFmtId="10" fontId="9" fillId="0" borderId="0" xfId="2" applyNumberFormat="1" applyProtection="1">
      <protection hidden="1"/>
    </xf>
    <xf numFmtId="5" fontId="9" fillId="0" borderId="0" xfId="2" applyNumberFormat="1" applyProtection="1">
      <protection hidden="1"/>
    </xf>
    <xf numFmtId="0" fontId="12" fillId="0" borderId="0" xfId="2" quotePrefix="1" applyFont="1" applyAlignment="1">
      <alignment horizontal="left"/>
    </xf>
    <xf numFmtId="164" fontId="9" fillId="0" borderId="0" xfId="2" quotePrefix="1" applyNumberFormat="1"/>
    <xf numFmtId="5" fontId="9" fillId="0" borderId="0" xfId="2" quotePrefix="1" applyNumberFormat="1"/>
    <xf numFmtId="0" fontId="9" fillId="0" borderId="0" xfId="2" quotePrefix="1" applyAlignment="1">
      <alignment horizontal="left"/>
    </xf>
    <xf numFmtId="0" fontId="9" fillId="0" borderId="0" xfId="2" applyAlignment="1">
      <alignment wrapText="1"/>
    </xf>
    <xf numFmtId="0" fontId="11" fillId="0" borderId="0" xfId="2" applyFont="1" applyAlignment="1">
      <alignment horizontal="center"/>
    </xf>
    <xf numFmtId="10" fontId="9" fillId="0" borderId="0" xfId="1" applyNumberFormat="1"/>
    <xf numFmtId="0" fontId="9" fillId="0" borderId="0" xfId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/>
    <xf numFmtId="49" fontId="9" fillId="0" borderId="0" xfId="1" quotePrefix="1" applyNumberFormat="1" applyAlignment="1">
      <alignment horizontal="center"/>
    </xf>
    <xf numFmtId="10" fontId="9" fillId="0" borderId="0" xfId="1" applyNumberFormat="1" applyAlignment="1">
      <alignment horizontal="center"/>
    </xf>
    <xf numFmtId="7" fontId="9" fillId="0" borderId="0" xfId="1" applyNumberFormat="1" applyAlignment="1">
      <alignment horizontal="fill"/>
    </xf>
    <xf numFmtId="164" fontId="9" fillId="0" borderId="0" xfId="1" applyNumberFormat="1" applyAlignment="1">
      <alignment horizontal="fill"/>
    </xf>
    <xf numFmtId="5" fontId="9" fillId="0" borderId="0" xfId="1" applyNumberFormat="1"/>
    <xf numFmtId="164" fontId="9" fillId="0" borderId="0" xfId="1" applyNumberFormat="1"/>
    <xf numFmtId="0" fontId="9" fillId="0" borderId="0" xfId="1" applyAlignment="1">
      <alignment horizontal="left"/>
    </xf>
    <xf numFmtId="42" fontId="9" fillId="0" borderId="0" xfId="1" applyNumberFormat="1"/>
    <xf numFmtId="43" fontId="9" fillId="0" borderId="0" xfId="1" applyNumberFormat="1"/>
    <xf numFmtId="164" fontId="9" fillId="0" borderId="0" xfId="1" applyNumberFormat="1" applyAlignment="1">
      <alignment horizontal="right"/>
    </xf>
    <xf numFmtId="164" fontId="9" fillId="0" borderId="0" xfId="1" quotePrefix="1" applyNumberFormat="1"/>
    <xf numFmtId="0" fontId="9" fillId="0" borderId="0" xfId="3" applyAlignment="1">
      <alignment horizontal="left"/>
    </xf>
    <xf numFmtId="0" fontId="15" fillId="0" borderId="0" xfId="1" applyFont="1"/>
    <xf numFmtId="0" fontId="4" fillId="0" borderId="0" xfId="10"/>
    <xf numFmtId="0" fontId="9" fillId="0" borderId="0" xfId="10" applyFont="1" applyAlignment="1">
      <alignment horizontal="left"/>
    </xf>
    <xf numFmtId="7" fontId="0" fillId="0" borderId="0" xfId="0" applyNumberFormat="1"/>
    <xf numFmtId="3" fontId="0" fillId="0" borderId="0" xfId="0" applyNumberFormat="1"/>
    <xf numFmtId="0" fontId="2" fillId="0" borderId="0" xfId="12"/>
    <xf numFmtId="0" fontId="9" fillId="0" borderId="0" xfId="12" applyFont="1" applyAlignment="1">
      <alignment horizontal="left"/>
    </xf>
    <xf numFmtId="0" fontId="1" fillId="0" borderId="0" xfId="13"/>
    <xf numFmtId="0" fontId="11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3" applyFont="1" applyAlignment="1">
      <alignment horizontal="center"/>
    </xf>
  </cellXfs>
  <cellStyles count="14">
    <cellStyle name="Check Cell 2" xfId="5" xr:uid="{C657F77F-7ED1-448F-8BCA-A67C40B9968D}"/>
    <cellStyle name="Normal" xfId="0" builtinId="0"/>
    <cellStyle name="Normal 10" xfId="12" xr:uid="{C209756E-0CE2-445C-912B-A2A51A4D6C07}"/>
    <cellStyle name="Normal 11" xfId="13" xr:uid="{AE53525A-CED3-4E30-A191-00C26F38E1CA}"/>
    <cellStyle name="Normal 2" xfId="4" xr:uid="{7769CBD1-9896-4BD3-B6E3-ADD00AA53D1B}"/>
    <cellStyle name="Normal 3" xfId="2" xr:uid="{C1EE48FC-FBE3-4915-B817-EF68897406E7}"/>
    <cellStyle name="Normal 3 2" xfId="3" xr:uid="{9721A578-4371-484D-B8D0-472BD44FE86D}"/>
    <cellStyle name="Normal 4" xfId="6" xr:uid="{C4044762-E4D0-444D-8900-8DDFF297B65F}"/>
    <cellStyle name="Normal 4 2" xfId="1" xr:uid="{02C4850B-DB24-4985-ACF2-3FA7A7BD400A}"/>
    <cellStyle name="Normal 5" xfId="7" xr:uid="{97E16770-C84A-4991-9026-2CB3E17C864B}"/>
    <cellStyle name="Normal 6" xfId="8" xr:uid="{7FCB276D-24B5-423A-95C1-71EE3917357C}"/>
    <cellStyle name="Normal 7" xfId="9" xr:uid="{E6EB5540-A4D9-402C-90F6-35F48B79E846}"/>
    <cellStyle name="Normal 8" xfId="10" xr:uid="{3A88E637-B003-4ABB-8D08-6B613FF3E811}"/>
    <cellStyle name="Normal 9" xfId="11" xr:uid="{AFB5B285-C36D-4DE2-8ADD-936B62991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180975</xdr:rowOff>
    </xdr:from>
    <xdr:to>
      <xdr:col>9</xdr:col>
      <xdr:colOff>458125</xdr:colOff>
      <xdr:row>74</xdr:row>
      <xdr:rowOff>29777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7F89D6-C75F-C58E-9F8F-655AE1A23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14975"/>
          <a:ext cx="6630325" cy="86118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Div%20-%20Adm%20Svc\Distribution%20&amp;%20Statistics\Acct%20Tech\Monthly%20Roll\GROSS%20COMP%20FY2025.xlsx" TargetMode="External"/><Relationship Id="rId1" Type="http://schemas.openxmlformats.org/officeDocument/2006/relationships/externalLinkPath" Target="/Div%20-%20Adm%20Svc/Distribution%20&amp;%20Statistics/Acct%20Tech/Monthly%20Roll/GROSS%20COMP%20FY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4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SUMMARY"/>
    </sheetNames>
    <sheetDataSet>
      <sheetData sheetId="0">
        <row r="7">
          <cell r="C7">
            <v>149376163.99000001</v>
          </cell>
          <cell r="D7">
            <v>146539561.59</v>
          </cell>
          <cell r="E7">
            <v>150606779.31999999</v>
          </cell>
          <cell r="F7">
            <v>145855188.53999999</v>
          </cell>
        </row>
        <row r="8">
          <cell r="C8">
            <v>190399527.75999999</v>
          </cell>
          <cell r="D8">
            <v>187001330.06</v>
          </cell>
          <cell r="E8">
            <v>191720756.59999999</v>
          </cell>
          <cell r="F8">
            <v>189410188.83000001</v>
          </cell>
        </row>
        <row r="9">
          <cell r="C9">
            <v>36517916.420000002</v>
          </cell>
          <cell r="D9">
            <v>35920058.020000003</v>
          </cell>
          <cell r="E9">
            <v>36797958.270000003</v>
          </cell>
          <cell r="F9">
            <v>35893222.18</v>
          </cell>
        </row>
        <row r="10">
          <cell r="C10">
            <v>127780119.48</v>
          </cell>
          <cell r="D10">
            <v>125695494.8</v>
          </cell>
          <cell r="E10">
            <v>128771972.53</v>
          </cell>
          <cell r="F10">
            <v>125609753.8</v>
          </cell>
        </row>
        <row r="11">
          <cell r="C11">
            <v>100487539.72</v>
          </cell>
          <cell r="D11">
            <v>98993413.870000005</v>
          </cell>
          <cell r="E11">
            <v>101496013.05</v>
          </cell>
          <cell r="F11">
            <v>99363243.909999996</v>
          </cell>
        </row>
        <row r="15">
          <cell r="C15">
            <v>0</v>
          </cell>
          <cell r="D15">
            <v>0</v>
          </cell>
          <cell r="E15">
            <v>162389.17000000001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156451059.03</v>
          </cell>
          <cell r="F16">
            <v>0</v>
          </cell>
        </row>
        <row r="22">
          <cell r="C22">
            <v>13745001.380000001</v>
          </cell>
          <cell r="D22">
            <v>10618138.119999999</v>
          </cell>
          <cell r="E22">
            <v>11590401.380000001</v>
          </cell>
          <cell r="F22">
            <v>9866721.3800000008</v>
          </cell>
        </row>
        <row r="23">
          <cell r="C23">
            <v>2568806.02</v>
          </cell>
          <cell r="D23">
            <v>2992839.99</v>
          </cell>
          <cell r="E23">
            <v>2624575.4900000002</v>
          </cell>
          <cell r="F23">
            <v>2878265.56</v>
          </cell>
        </row>
        <row r="24">
          <cell r="C24">
            <v>6517263.5200000005</v>
          </cell>
          <cell r="D24">
            <v>4510776.79</v>
          </cell>
          <cell r="E24">
            <v>4008226.25</v>
          </cell>
          <cell r="F24">
            <v>4776198.97</v>
          </cell>
        </row>
        <row r="25">
          <cell r="C25">
            <v>0</v>
          </cell>
          <cell r="D25">
            <v>0</v>
          </cell>
          <cell r="E25">
            <v>140826316.94</v>
          </cell>
          <cell r="F25">
            <v>0</v>
          </cell>
        </row>
        <row r="26">
          <cell r="C26">
            <v>214620.17</v>
          </cell>
          <cell r="D26">
            <v>204097.17</v>
          </cell>
          <cell r="E26">
            <v>215304.12</v>
          </cell>
          <cell r="F26">
            <v>210149.22999999998</v>
          </cell>
        </row>
        <row r="27">
          <cell r="C27">
            <v>0</v>
          </cell>
          <cell r="D27">
            <v>0</v>
          </cell>
          <cell r="E27">
            <v>26612139.02</v>
          </cell>
          <cell r="F27">
            <v>0</v>
          </cell>
        </row>
        <row r="28">
          <cell r="C28">
            <v>5051231.5999999996</v>
          </cell>
          <cell r="D28">
            <v>8457076.5500000007</v>
          </cell>
          <cell r="E28">
            <v>15515400.84</v>
          </cell>
          <cell r="F28">
            <v>13445864.300000001</v>
          </cell>
        </row>
        <row r="29">
          <cell r="C29">
            <v>0</v>
          </cell>
          <cell r="D29">
            <v>0</v>
          </cell>
          <cell r="E29">
            <v>549692.49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832480.94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28420652.260000002</v>
          </cell>
          <cell r="F31">
            <v>0</v>
          </cell>
        </row>
        <row r="33">
          <cell r="C33">
            <v>2608762.3199999998</v>
          </cell>
          <cell r="D33">
            <v>2245401.13</v>
          </cell>
          <cell r="E33">
            <v>2758456.51</v>
          </cell>
          <cell r="F33">
            <v>3504222.6</v>
          </cell>
        </row>
        <row r="34">
          <cell r="C34">
            <v>18558131.390000001</v>
          </cell>
          <cell r="D34">
            <v>15700224.120000001</v>
          </cell>
          <cell r="E34">
            <v>19272011.620000001</v>
          </cell>
          <cell r="F34">
            <v>26711978.759999998</v>
          </cell>
        </row>
        <row r="35">
          <cell r="C35">
            <v>3370172.19</v>
          </cell>
          <cell r="D35">
            <v>3307965.51</v>
          </cell>
          <cell r="E35">
            <v>3695943.74</v>
          </cell>
          <cell r="F35">
            <v>4344316.1100000003</v>
          </cell>
        </row>
        <row r="36">
          <cell r="C36">
            <v>6284271.9199999999</v>
          </cell>
          <cell r="D36">
            <v>5031991.6500000004</v>
          </cell>
          <cell r="E36">
            <v>13311391.060000001</v>
          </cell>
          <cell r="F36">
            <v>3500088.36</v>
          </cell>
        </row>
        <row r="37">
          <cell r="C37">
            <v>6441200.3700000001</v>
          </cell>
          <cell r="D37">
            <v>6501253.9299999997</v>
          </cell>
          <cell r="E37">
            <v>6175563.9800000004</v>
          </cell>
          <cell r="F37">
            <v>6265756.8399999999</v>
          </cell>
        </row>
        <row r="38">
          <cell r="C38">
            <v>3619969.44</v>
          </cell>
          <cell r="D38">
            <v>4093722.91</v>
          </cell>
          <cell r="E38">
            <v>3663097.43</v>
          </cell>
          <cell r="F38">
            <v>3713099.08</v>
          </cell>
        </row>
      </sheetData>
      <sheetData sheetId="1">
        <row r="9">
          <cell r="F9">
            <v>147467006.28</v>
          </cell>
        </row>
        <row r="10">
          <cell r="F10">
            <v>184510767.44</v>
          </cell>
        </row>
        <row r="11">
          <cell r="F11">
            <v>35454892.960000001</v>
          </cell>
        </row>
        <row r="12">
          <cell r="F12">
            <v>124070519.86</v>
          </cell>
        </row>
        <row r="13">
          <cell r="F13">
            <v>97152341.010000005</v>
          </cell>
        </row>
        <row r="25">
          <cell r="B25">
            <v>10566991.380000001</v>
          </cell>
        </row>
        <row r="26">
          <cell r="B26">
            <v>2973302.63</v>
          </cell>
        </row>
        <row r="27">
          <cell r="B27">
            <v>3899600.8800000004</v>
          </cell>
        </row>
        <row r="28">
          <cell r="B28"/>
        </row>
        <row r="29">
          <cell r="B29">
            <v>221831.05000000002</v>
          </cell>
        </row>
        <row r="30">
          <cell r="B30"/>
        </row>
        <row r="31">
          <cell r="B31">
            <v>10433023.99</v>
          </cell>
        </row>
        <row r="32">
          <cell r="B32"/>
        </row>
        <row r="33">
          <cell r="B33"/>
        </row>
        <row r="34">
          <cell r="B34"/>
        </row>
        <row r="36">
          <cell r="B36">
            <v>2760847.0900000003</v>
          </cell>
        </row>
        <row r="37">
          <cell r="B37">
            <v>18654746.880000003</v>
          </cell>
        </row>
        <row r="38">
          <cell r="B38">
            <v>3640199.35</v>
          </cell>
        </row>
        <row r="39">
          <cell r="B39">
            <v>4535540.74</v>
          </cell>
        </row>
        <row r="40">
          <cell r="B40">
            <v>6953586.9900000002</v>
          </cell>
        </row>
        <row r="41">
          <cell r="B41">
            <v>3034643.29</v>
          </cell>
        </row>
      </sheetData>
      <sheetData sheetId="2">
        <row r="9">
          <cell r="B9">
            <v>143848832.50999999</v>
          </cell>
        </row>
        <row r="10">
          <cell r="B10">
            <v>184343985.5</v>
          </cell>
        </row>
        <row r="11">
          <cell r="B11">
            <v>35408418.899999999</v>
          </cell>
        </row>
        <row r="12">
          <cell r="B12">
            <v>123907984.8</v>
          </cell>
        </row>
        <row r="13">
          <cell r="B13">
            <v>96824506.890000001</v>
          </cell>
        </row>
        <row r="25">
          <cell r="B25">
            <v>10719135</v>
          </cell>
        </row>
        <row r="26">
          <cell r="B26">
            <v>2642598.69</v>
          </cell>
        </row>
        <row r="27">
          <cell r="B27">
            <v>4502829.78</v>
          </cell>
        </row>
        <row r="28">
          <cell r="B28"/>
        </row>
        <row r="29">
          <cell r="B29">
            <v>216122.1</v>
          </cell>
        </row>
        <row r="30">
          <cell r="B30"/>
        </row>
        <row r="31">
          <cell r="B31">
            <v>6540177.7999999998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6">
          <cell r="B36">
            <v>2523460.91</v>
          </cell>
        </row>
        <row r="37">
          <cell r="B37">
            <v>17742155.09</v>
          </cell>
        </row>
        <row r="38">
          <cell r="B38">
            <v>3769386.09</v>
          </cell>
        </row>
        <row r="39">
          <cell r="B39">
            <v>7494698.0800000001</v>
          </cell>
        </row>
        <row r="40">
          <cell r="B40">
            <v>5355536.3899999997</v>
          </cell>
        </row>
        <row r="41">
          <cell r="B41">
            <v>2533902.13</v>
          </cell>
        </row>
      </sheetData>
      <sheetData sheetId="3">
        <row r="9">
          <cell r="B9">
            <v>154695979.81</v>
          </cell>
        </row>
        <row r="10">
          <cell r="B10">
            <v>188384282.09999999</v>
          </cell>
        </row>
        <row r="11">
          <cell r="B11">
            <v>36139761.289999999</v>
          </cell>
        </row>
        <row r="12">
          <cell r="B12">
            <v>126469799.89</v>
          </cell>
        </row>
        <row r="13">
          <cell r="B13">
            <v>99717919.719999999</v>
          </cell>
        </row>
        <row r="17">
          <cell r="F17">
            <v>108059.78</v>
          </cell>
        </row>
        <row r="18">
          <cell r="F18">
            <v>168880719.26999998</v>
          </cell>
        </row>
        <row r="25">
          <cell r="B25">
            <v>10719184.879999999</v>
          </cell>
        </row>
        <row r="26">
          <cell r="B26">
            <v>2365461.6800000002</v>
          </cell>
        </row>
        <row r="27">
          <cell r="B27">
            <v>4252306.17</v>
          </cell>
        </row>
        <row r="28">
          <cell r="B28">
            <v>143516423.12</v>
          </cell>
        </row>
        <row r="29">
          <cell r="B29">
            <v>205416.56999999998</v>
          </cell>
        </row>
        <row r="30">
          <cell r="B30">
            <v>23999480.170000002</v>
          </cell>
        </row>
        <row r="31">
          <cell r="B31">
            <v>5081116.63</v>
          </cell>
        </row>
        <row r="32">
          <cell r="B32">
            <v>404005</v>
          </cell>
        </row>
        <row r="33">
          <cell r="B33">
            <v>-24277.759999999998</v>
          </cell>
        </row>
        <row r="34">
          <cell r="B34">
            <v>30561948.210000001</v>
          </cell>
        </row>
        <row r="36">
          <cell r="B36">
            <v>2883142.44</v>
          </cell>
        </row>
        <row r="37">
          <cell r="B37">
            <v>20866969.710000001</v>
          </cell>
        </row>
        <row r="38">
          <cell r="B38">
            <v>3767556.72</v>
          </cell>
        </row>
        <row r="39">
          <cell r="B39">
            <v>3093841.0900000003</v>
          </cell>
        </row>
        <row r="40">
          <cell r="B40">
            <v>7442281.0300000003</v>
          </cell>
        </row>
        <row r="41">
          <cell r="B41">
            <v>3123384.77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01B89-BFA9-491C-8E62-BC82117CAE77}">
  <dimension ref="A1:S48"/>
  <sheetViews>
    <sheetView workbookViewId="0">
      <selection sqref="A1:XFD1048576"/>
    </sheetView>
  </sheetViews>
  <sheetFormatPr defaultRowHeight="14.25" x14ac:dyDescent="0.2"/>
  <cols>
    <col min="1" max="1" width="33.875" customWidth="1"/>
    <col min="2" max="2" width="7.75" customWidth="1"/>
    <col min="3" max="3" width="11.125" bestFit="1" customWidth="1"/>
    <col min="4" max="4" width="11.625" bestFit="1" customWidth="1"/>
    <col min="5" max="5" width="14.625" customWidth="1"/>
    <col min="6" max="6" width="12.875" bestFit="1" customWidth="1"/>
    <col min="7" max="7" width="14.375" bestFit="1" customWidth="1"/>
    <col min="8" max="8" width="14.25" bestFit="1" customWidth="1"/>
    <col min="9" max="9" width="12.5" bestFit="1" customWidth="1"/>
    <col min="10" max="10" width="13.875" bestFit="1" customWidth="1"/>
    <col min="11" max="11" width="12.875" bestFit="1" customWidth="1"/>
    <col min="12" max="14" width="11.125" bestFit="1" customWidth="1"/>
    <col min="15" max="15" width="14.375" bestFit="1" customWidth="1"/>
  </cols>
  <sheetData>
    <row r="1" spans="1:19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x14ac:dyDescent="0.2">
      <c r="A2" s="28" t="s">
        <v>1</v>
      </c>
      <c r="B2" s="28"/>
      <c r="C2" s="29"/>
      <c r="D2" s="30"/>
      <c r="E2" s="30"/>
      <c r="F2" s="30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x14ac:dyDescent="0.2">
      <c r="A3" s="28"/>
      <c r="B3" s="28"/>
      <c r="C3" s="31"/>
      <c r="D3" s="31"/>
      <c r="E3" s="31"/>
      <c r="F3" s="31"/>
      <c r="G3" s="31"/>
      <c r="H3" s="30"/>
      <c r="I3" s="31"/>
      <c r="J3" s="31"/>
      <c r="K3" s="31"/>
      <c r="L3" s="31"/>
      <c r="M3" s="31"/>
      <c r="N3" s="31"/>
      <c r="O3" s="28"/>
      <c r="P3" s="28"/>
      <c r="Q3" s="28"/>
      <c r="R3" s="28"/>
      <c r="S3" s="28"/>
    </row>
    <row r="4" spans="1:19" x14ac:dyDescent="0.2">
      <c r="A4" s="28"/>
      <c r="B4" s="28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8"/>
      <c r="P4" s="28"/>
      <c r="Q4" s="28"/>
      <c r="R4" s="28"/>
      <c r="S4" s="28"/>
    </row>
    <row r="5" spans="1:19" x14ac:dyDescent="0.2">
      <c r="A5" s="28" t="s">
        <v>2</v>
      </c>
      <c r="B5" s="28"/>
      <c r="C5" s="32" t="s">
        <v>52</v>
      </c>
      <c r="D5" s="32" t="s">
        <v>55</v>
      </c>
      <c r="E5" s="32" t="s">
        <v>56</v>
      </c>
      <c r="F5" s="32" t="s">
        <v>57</v>
      </c>
      <c r="G5" s="32" t="s">
        <v>58</v>
      </c>
      <c r="H5" s="32" t="s">
        <v>59</v>
      </c>
      <c r="I5" s="32" t="s">
        <v>60</v>
      </c>
      <c r="J5" s="32" t="s">
        <v>61</v>
      </c>
      <c r="K5" s="32" t="s">
        <v>62</v>
      </c>
      <c r="L5" s="32" t="s">
        <v>63</v>
      </c>
      <c r="M5" s="32" t="s">
        <v>64</v>
      </c>
      <c r="N5" s="32" t="s">
        <v>65</v>
      </c>
      <c r="O5" s="33" t="s">
        <v>3</v>
      </c>
      <c r="P5" s="28"/>
      <c r="Q5" s="28"/>
      <c r="R5" s="28"/>
      <c r="S5" s="28"/>
    </row>
    <row r="6" spans="1:19" x14ac:dyDescent="0.2">
      <c r="A6" s="28" t="s">
        <v>4</v>
      </c>
      <c r="B6" s="28"/>
      <c r="C6" s="34" t="s">
        <v>5</v>
      </c>
      <c r="D6" s="34" t="s">
        <v>5</v>
      </c>
      <c r="E6" s="34" t="s">
        <v>5</v>
      </c>
      <c r="F6" s="34" t="s">
        <v>5</v>
      </c>
      <c r="G6" s="34" t="s">
        <v>5</v>
      </c>
      <c r="H6" s="34" t="s">
        <v>5</v>
      </c>
      <c r="I6" s="35" t="s">
        <v>5</v>
      </c>
      <c r="J6" s="34" t="s">
        <v>5</v>
      </c>
      <c r="K6" s="34" t="s">
        <v>5</v>
      </c>
      <c r="L6" s="35" t="s">
        <v>5</v>
      </c>
      <c r="M6" s="35" t="s">
        <v>5</v>
      </c>
      <c r="N6" s="35" t="s">
        <v>5</v>
      </c>
      <c r="O6" s="28"/>
      <c r="P6" s="28"/>
      <c r="Q6" s="28"/>
      <c r="R6" s="28"/>
      <c r="S6" s="28"/>
    </row>
    <row r="7" spans="1:19" x14ac:dyDescent="0.2">
      <c r="A7" s="28" t="s">
        <v>6</v>
      </c>
      <c r="B7" s="28"/>
      <c r="C7" s="36">
        <v>149376163.99000001</v>
      </c>
      <c r="D7" s="36">
        <v>146539561.59</v>
      </c>
      <c r="E7" s="36">
        <v>150606779.31999999</v>
      </c>
      <c r="F7" s="36">
        <v>145855188.53999999</v>
      </c>
      <c r="G7" s="36">
        <v>149986259.84</v>
      </c>
      <c r="H7" s="36">
        <v>168231274.28999999</v>
      </c>
      <c r="I7" s="37">
        <v>137746324.06</v>
      </c>
      <c r="J7" s="36">
        <v>138502745.36000001</v>
      </c>
      <c r="K7" s="36">
        <v>162043939.30000001</v>
      </c>
      <c r="L7" s="37">
        <v>152028253.75999999</v>
      </c>
      <c r="M7" s="37">
        <v>151027066.58000001</v>
      </c>
      <c r="N7" s="37">
        <v>152299650.00999999</v>
      </c>
      <c r="O7" s="36">
        <v>1804243206.6400001</v>
      </c>
      <c r="P7" s="28" t="str">
        <f>IF(SUM(C7:N7)=O7, "      ♪", "NO")</f>
        <v xml:space="preserve">      ♪</v>
      </c>
      <c r="Q7" s="28"/>
      <c r="R7" s="28"/>
      <c r="S7" s="28"/>
    </row>
    <row r="8" spans="1:19" x14ac:dyDescent="0.2">
      <c r="A8" s="38" t="s">
        <v>7</v>
      </c>
      <c r="B8" s="28"/>
      <c r="C8" s="36">
        <v>190399527.75999999</v>
      </c>
      <c r="D8" s="36">
        <v>187001330.06</v>
      </c>
      <c r="E8" s="36">
        <v>191720756.59999999</v>
      </c>
      <c r="F8" s="36">
        <v>189410188.83000001</v>
      </c>
      <c r="G8" s="36">
        <v>189583745.36000001</v>
      </c>
      <c r="H8" s="36">
        <v>212188073.81</v>
      </c>
      <c r="I8" s="37">
        <v>176146044.93000001</v>
      </c>
      <c r="J8" s="36">
        <v>175856828.88</v>
      </c>
      <c r="K8" s="36">
        <v>200558721.90000001</v>
      </c>
      <c r="L8" s="37">
        <v>185353730.06</v>
      </c>
      <c r="M8" s="37">
        <v>192998474.12</v>
      </c>
      <c r="N8" s="37">
        <v>189925427.63</v>
      </c>
      <c r="O8" s="36">
        <v>2281142849.9400001</v>
      </c>
      <c r="P8" s="28" t="str">
        <f t="shared" ref="P8:P18" si="0">IF(SUM(C8:N8)=O8, "      ♪", "NO")</f>
        <v xml:space="preserve">      ♪</v>
      </c>
      <c r="Q8" s="28"/>
      <c r="R8" s="28"/>
      <c r="S8" s="28"/>
    </row>
    <row r="9" spans="1:19" x14ac:dyDescent="0.2">
      <c r="A9" s="28" t="s">
        <v>8</v>
      </c>
      <c r="B9" s="28"/>
      <c r="C9" s="36">
        <v>36517916.420000002</v>
      </c>
      <c r="D9" s="36">
        <v>35920058.020000003</v>
      </c>
      <c r="E9" s="36">
        <v>36797958.270000003</v>
      </c>
      <c r="F9" s="36">
        <v>35893222.18</v>
      </c>
      <c r="G9" s="36">
        <v>36307341.390000001</v>
      </c>
      <c r="H9" s="36">
        <v>40771438.520000003</v>
      </c>
      <c r="I9" s="37">
        <v>33838636.100000001</v>
      </c>
      <c r="J9" s="36">
        <v>33740081.359999999</v>
      </c>
      <c r="K9" s="36">
        <v>38502134.68</v>
      </c>
      <c r="L9" s="37">
        <v>35504757.390000001</v>
      </c>
      <c r="M9" s="37">
        <v>37028096.219999999</v>
      </c>
      <c r="N9" s="37">
        <v>36529786.700000003</v>
      </c>
      <c r="O9" s="36">
        <v>437351427.25000006</v>
      </c>
      <c r="P9" s="28" t="str">
        <f t="shared" si="0"/>
        <v xml:space="preserve">      ♪</v>
      </c>
      <c r="Q9" s="28"/>
      <c r="R9" s="28"/>
      <c r="S9" s="28"/>
    </row>
    <row r="10" spans="1:19" x14ac:dyDescent="0.2">
      <c r="A10" s="28" t="s">
        <v>9</v>
      </c>
      <c r="B10" s="28"/>
      <c r="C10" s="36">
        <v>127780119.48</v>
      </c>
      <c r="D10" s="36">
        <v>125695494.8</v>
      </c>
      <c r="E10" s="36">
        <v>128771972.53</v>
      </c>
      <c r="F10" s="36">
        <v>125609753.8</v>
      </c>
      <c r="G10" s="36">
        <v>127058255.61</v>
      </c>
      <c r="H10" s="36">
        <v>142677835.44999999</v>
      </c>
      <c r="I10" s="37">
        <v>118375239.36</v>
      </c>
      <c r="J10" s="36">
        <v>118067866.73</v>
      </c>
      <c r="K10" s="36">
        <v>134737195.28999999</v>
      </c>
      <c r="L10" s="37">
        <v>124247682.79000001</v>
      </c>
      <c r="M10" s="37">
        <v>129576088.64</v>
      </c>
      <c r="N10" s="37">
        <v>127833254.87</v>
      </c>
      <c r="O10" s="36">
        <v>1530430759.3500004</v>
      </c>
      <c r="P10" s="28" t="str">
        <f t="shared" si="0"/>
        <v xml:space="preserve">      ♪</v>
      </c>
      <c r="Q10" s="28"/>
      <c r="R10" s="28"/>
      <c r="S10" s="28"/>
    </row>
    <row r="11" spans="1:19" x14ac:dyDescent="0.2">
      <c r="A11" s="28" t="s">
        <v>10</v>
      </c>
      <c r="B11" s="28"/>
      <c r="C11" s="36">
        <v>100487539.72</v>
      </c>
      <c r="D11" s="36">
        <v>98993413.870000005</v>
      </c>
      <c r="E11" s="36">
        <v>101496013.05</v>
      </c>
      <c r="F11" s="36">
        <v>99363243.909999996</v>
      </c>
      <c r="G11" s="36">
        <v>100224792.47</v>
      </c>
      <c r="H11" s="36">
        <v>113682788.79000001</v>
      </c>
      <c r="I11" s="37">
        <v>93512948.569999993</v>
      </c>
      <c r="J11" s="36">
        <v>93589830.989999995</v>
      </c>
      <c r="K11" s="36">
        <v>106813836.23</v>
      </c>
      <c r="L11" s="37">
        <v>98345419.060000002</v>
      </c>
      <c r="M11" s="37">
        <v>102343745.67</v>
      </c>
      <c r="N11" s="37">
        <v>100699119.61</v>
      </c>
      <c r="O11" s="36">
        <v>1209552691.9399998</v>
      </c>
      <c r="P11" s="28" t="str">
        <f t="shared" si="0"/>
        <v xml:space="preserve">      ♪</v>
      </c>
      <c r="Q11" s="28"/>
      <c r="R11" s="28"/>
      <c r="S11" s="28"/>
    </row>
    <row r="12" spans="1:19" x14ac:dyDescent="0.2">
      <c r="A12" s="28"/>
      <c r="B12" s="28"/>
      <c r="C12" s="34" t="s">
        <v>5</v>
      </c>
      <c r="D12" s="34" t="s">
        <v>5</v>
      </c>
      <c r="E12" s="34" t="s">
        <v>5</v>
      </c>
      <c r="F12" s="34" t="s">
        <v>5</v>
      </c>
      <c r="G12" s="34" t="s">
        <v>5</v>
      </c>
      <c r="H12" s="34" t="s">
        <v>5</v>
      </c>
      <c r="I12" s="35" t="s">
        <v>5</v>
      </c>
      <c r="J12" s="34" t="s">
        <v>5</v>
      </c>
      <c r="K12" s="34" t="s">
        <v>5</v>
      </c>
      <c r="L12" s="35" t="s">
        <v>5</v>
      </c>
      <c r="M12" s="35" t="s">
        <v>5</v>
      </c>
      <c r="N12" s="35" t="s">
        <v>5</v>
      </c>
      <c r="O12" s="36"/>
      <c r="P12" s="28"/>
      <c r="Q12" s="28"/>
      <c r="R12" s="28"/>
      <c r="S12" s="28"/>
    </row>
    <row r="13" spans="1:19" x14ac:dyDescent="0.2">
      <c r="A13" s="28" t="s">
        <v>11</v>
      </c>
      <c r="B13" s="28"/>
      <c r="C13" s="36">
        <v>604561267.37</v>
      </c>
      <c r="D13" s="36">
        <v>594149858.33999991</v>
      </c>
      <c r="E13" s="36">
        <v>609393479.76999986</v>
      </c>
      <c r="F13" s="36">
        <v>596131597.25999999</v>
      </c>
      <c r="G13" s="36">
        <v>603160394.67000008</v>
      </c>
      <c r="H13" s="36">
        <v>677551410.8599999</v>
      </c>
      <c r="I13" s="36">
        <v>559619193.01999998</v>
      </c>
      <c r="J13" s="36">
        <v>559757353.32000005</v>
      </c>
      <c r="K13" s="36">
        <v>642655827.4000001</v>
      </c>
      <c r="L13" s="36">
        <v>595479843.05999994</v>
      </c>
      <c r="M13" s="36">
        <v>612973471.23000002</v>
      </c>
      <c r="N13" s="36">
        <v>607287238.81999993</v>
      </c>
      <c r="O13" s="36">
        <v>7262720935.1199989</v>
      </c>
      <c r="P13" s="28" t="str">
        <f t="shared" si="0"/>
        <v xml:space="preserve">      ♪</v>
      </c>
      <c r="Q13" s="28"/>
      <c r="R13" s="28"/>
      <c r="S13" s="28"/>
    </row>
    <row r="14" spans="1:19" x14ac:dyDescent="0.2">
      <c r="A14" s="28"/>
      <c r="B14" s="28"/>
      <c r="C14" s="36"/>
      <c r="D14" s="36"/>
      <c r="E14" s="36"/>
      <c r="F14" s="36"/>
      <c r="G14" s="36"/>
      <c r="H14" s="36"/>
      <c r="I14" s="37"/>
      <c r="J14" s="36"/>
      <c r="K14" s="39"/>
      <c r="L14" s="37"/>
      <c r="M14" s="37"/>
      <c r="N14" s="37"/>
      <c r="O14" s="36"/>
      <c r="P14" s="28"/>
      <c r="Q14" s="28"/>
      <c r="R14" s="28"/>
      <c r="S14" s="28"/>
    </row>
    <row r="15" spans="1:19" x14ac:dyDescent="0.2">
      <c r="A15" s="28" t="s">
        <v>12</v>
      </c>
      <c r="B15" s="28"/>
      <c r="C15" s="36">
        <v>0</v>
      </c>
      <c r="D15" s="36">
        <v>0</v>
      </c>
      <c r="E15" s="36">
        <v>162389.17000000001</v>
      </c>
      <c r="F15" s="36">
        <v>0</v>
      </c>
      <c r="G15" s="36">
        <v>0</v>
      </c>
      <c r="H15" s="36">
        <v>6241.5</v>
      </c>
      <c r="I15" s="37">
        <v>0</v>
      </c>
      <c r="J15" s="36">
        <v>0</v>
      </c>
      <c r="K15" s="40">
        <v>3588.13</v>
      </c>
      <c r="L15" s="37">
        <v>0</v>
      </c>
      <c r="M15" s="37">
        <v>0</v>
      </c>
      <c r="N15" s="37">
        <v>6159</v>
      </c>
      <c r="O15" s="36">
        <v>178377.80000000002</v>
      </c>
      <c r="P15" s="28" t="str">
        <f t="shared" si="0"/>
        <v xml:space="preserve">      ♪</v>
      </c>
      <c r="Q15" s="28"/>
      <c r="R15" s="28"/>
      <c r="S15" s="28"/>
    </row>
    <row r="16" spans="1:19" x14ac:dyDescent="0.2">
      <c r="A16" s="28" t="s">
        <v>13</v>
      </c>
      <c r="B16" s="28"/>
      <c r="C16" s="36">
        <v>0</v>
      </c>
      <c r="D16" s="36">
        <v>0</v>
      </c>
      <c r="E16" s="36">
        <v>156451059.03</v>
      </c>
      <c r="F16" s="36">
        <v>0</v>
      </c>
      <c r="G16" s="36">
        <v>0</v>
      </c>
      <c r="H16" s="36">
        <v>195978438.53999999</v>
      </c>
      <c r="I16" s="37">
        <v>0</v>
      </c>
      <c r="J16" s="36">
        <v>0</v>
      </c>
      <c r="K16" s="40">
        <v>223371217.59999999</v>
      </c>
      <c r="L16" s="37">
        <v>0</v>
      </c>
      <c r="M16" s="37">
        <v>0</v>
      </c>
      <c r="N16" s="37">
        <v>213186037.72000003</v>
      </c>
      <c r="O16" s="36">
        <v>788986752.88999999</v>
      </c>
      <c r="P16" s="28" t="str">
        <f t="shared" si="0"/>
        <v xml:space="preserve">      ♪</v>
      </c>
      <c r="Q16" s="36"/>
      <c r="R16" s="28"/>
      <c r="S16" s="28"/>
    </row>
    <row r="17" spans="1:19" x14ac:dyDescent="0.2">
      <c r="A17" s="28"/>
      <c r="B17" s="28"/>
      <c r="C17" s="34" t="s">
        <v>5</v>
      </c>
      <c r="D17" s="34" t="s">
        <v>5</v>
      </c>
      <c r="E17" s="34" t="s">
        <v>5</v>
      </c>
      <c r="F17" s="34" t="s">
        <v>5</v>
      </c>
      <c r="G17" s="34" t="s">
        <v>5</v>
      </c>
      <c r="H17" s="34" t="s">
        <v>5</v>
      </c>
      <c r="I17" s="35" t="s">
        <v>5</v>
      </c>
      <c r="J17" s="34" t="s">
        <v>5</v>
      </c>
      <c r="K17" s="34" t="s">
        <v>5</v>
      </c>
      <c r="L17" s="35" t="s">
        <v>5</v>
      </c>
      <c r="M17" s="35" t="s">
        <v>5</v>
      </c>
      <c r="N17" s="35" t="s">
        <v>5</v>
      </c>
      <c r="O17" s="36"/>
      <c r="P17" s="28"/>
      <c r="Q17" s="28"/>
      <c r="R17" s="28"/>
      <c r="S17" s="28"/>
    </row>
    <row r="18" spans="1:19" x14ac:dyDescent="0.2">
      <c r="A18" s="28" t="s">
        <v>14</v>
      </c>
      <c r="B18" s="28"/>
      <c r="C18" s="36">
        <v>604561267.37</v>
      </c>
      <c r="D18" s="36">
        <v>594149858.33999991</v>
      </c>
      <c r="E18" s="36">
        <v>766006927.96999979</v>
      </c>
      <c r="F18" s="36">
        <v>596131597.25999999</v>
      </c>
      <c r="G18" s="36">
        <v>603160394.67000008</v>
      </c>
      <c r="H18" s="36">
        <v>873536090.89999986</v>
      </c>
      <c r="I18" s="36">
        <v>559619193.01999998</v>
      </c>
      <c r="J18" s="36">
        <v>559757353.32000005</v>
      </c>
      <c r="K18" s="36">
        <v>866030633.13000011</v>
      </c>
      <c r="L18" s="36">
        <v>595479843.05999994</v>
      </c>
      <c r="M18" s="36">
        <v>612973471.23000002</v>
      </c>
      <c r="N18" s="36">
        <v>820479435.53999996</v>
      </c>
      <c r="O18" s="36">
        <v>8051886065.8099985</v>
      </c>
      <c r="P18" s="28" t="str">
        <f t="shared" si="0"/>
        <v xml:space="preserve">      ♪</v>
      </c>
      <c r="Q18" s="28"/>
      <c r="R18" s="28"/>
      <c r="S18" s="28"/>
    </row>
    <row r="19" spans="1:19" x14ac:dyDescent="0.2">
      <c r="A19" s="28"/>
      <c r="B19" s="28"/>
      <c r="C19" s="31"/>
      <c r="D19" s="31"/>
      <c r="E19" s="31"/>
      <c r="F19" s="31"/>
      <c r="G19" s="36"/>
      <c r="H19" s="36"/>
      <c r="I19" s="37"/>
      <c r="J19" s="36"/>
      <c r="K19" s="39"/>
      <c r="L19" s="37"/>
      <c r="M19" s="37"/>
      <c r="N19" s="37"/>
      <c r="O19" s="36"/>
      <c r="P19" s="28"/>
      <c r="Q19" s="28"/>
      <c r="R19" s="28"/>
      <c r="S19" s="28"/>
    </row>
    <row r="20" spans="1:19" x14ac:dyDescent="0.2">
      <c r="A20" s="28" t="s">
        <v>15</v>
      </c>
      <c r="B20" s="28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6"/>
      <c r="P20" s="28"/>
      <c r="Q20" s="28"/>
      <c r="R20" s="28"/>
      <c r="S20" s="28"/>
    </row>
    <row r="21" spans="1:19" x14ac:dyDescent="0.2">
      <c r="A21" s="28" t="s">
        <v>16</v>
      </c>
      <c r="B21" s="28"/>
      <c r="C21" s="36"/>
      <c r="D21" s="36"/>
      <c r="E21" s="36"/>
      <c r="F21" s="36"/>
      <c r="G21" s="36"/>
      <c r="H21" s="36"/>
      <c r="I21" s="37"/>
      <c r="J21" s="36"/>
      <c r="K21" s="39"/>
      <c r="L21" s="37"/>
      <c r="M21" s="37"/>
      <c r="N21" s="37"/>
      <c r="O21" s="36"/>
      <c r="P21" s="28"/>
      <c r="Q21" s="28"/>
      <c r="R21" s="28"/>
      <c r="S21" s="28"/>
    </row>
    <row r="22" spans="1:19" x14ac:dyDescent="0.2">
      <c r="A22" s="28" t="s">
        <v>17</v>
      </c>
      <c r="B22" s="28"/>
      <c r="C22" s="36">
        <v>13745001.380000001</v>
      </c>
      <c r="D22" s="36">
        <v>10618138.119999999</v>
      </c>
      <c r="E22" s="36">
        <v>11590401.380000001</v>
      </c>
      <c r="F22" s="36">
        <v>9866721.3800000008</v>
      </c>
      <c r="G22" s="36">
        <v>10180485.01</v>
      </c>
      <c r="H22" s="36">
        <v>13897169.99</v>
      </c>
      <c r="I22" s="37">
        <v>9480240</v>
      </c>
      <c r="J22" s="36">
        <v>9857295</v>
      </c>
      <c r="K22" s="36">
        <v>8196906.3799999999</v>
      </c>
      <c r="L22" s="37">
        <v>11213346.380000001</v>
      </c>
      <c r="M22" s="37">
        <v>9641835</v>
      </c>
      <c r="N22" s="37">
        <v>12234088.119999999</v>
      </c>
      <c r="O22" s="36">
        <v>130521628.14</v>
      </c>
      <c r="P22" s="28" t="str">
        <f t="shared" ref="P22:P38" si="1">IF(SUM(C22:N22)=O22, "      ♪", "NO")</f>
        <v xml:space="preserve">      ♪</v>
      </c>
      <c r="Q22" s="28"/>
      <c r="R22" s="28"/>
      <c r="S22" s="28"/>
    </row>
    <row r="23" spans="1:19" x14ac:dyDescent="0.2">
      <c r="A23" s="28" t="s">
        <v>18</v>
      </c>
      <c r="B23" s="28"/>
      <c r="C23" s="36">
        <v>2568806.02</v>
      </c>
      <c r="D23" s="36">
        <v>2992839.99</v>
      </c>
      <c r="E23" s="36">
        <v>2624575.4900000002</v>
      </c>
      <c r="F23" s="36">
        <v>2878265.56</v>
      </c>
      <c r="G23" s="36">
        <v>2865518.21</v>
      </c>
      <c r="H23" s="36">
        <v>2548968.62</v>
      </c>
      <c r="I23" s="37">
        <v>2839525.62</v>
      </c>
      <c r="J23" s="36">
        <v>2558108.09</v>
      </c>
      <c r="K23" s="36">
        <v>2349913.3199999998</v>
      </c>
      <c r="L23" s="37">
        <v>2921125.97</v>
      </c>
      <c r="M23" s="37">
        <v>2995172.3</v>
      </c>
      <c r="N23" s="37">
        <v>2789845.78</v>
      </c>
      <c r="O23" s="36">
        <v>32932664.970000003</v>
      </c>
      <c r="P23" s="28" t="str">
        <f t="shared" si="1"/>
        <v xml:space="preserve">      ♪</v>
      </c>
      <c r="Q23" s="28"/>
      <c r="R23" s="28"/>
      <c r="S23" s="36"/>
    </row>
    <row r="24" spans="1:19" x14ac:dyDescent="0.2">
      <c r="A24" s="28" t="s">
        <v>19</v>
      </c>
      <c r="B24" s="28"/>
      <c r="C24" s="36">
        <v>6517263.5200000005</v>
      </c>
      <c r="D24" s="36">
        <v>4510776.79</v>
      </c>
      <c r="E24" s="36">
        <v>4008226.25</v>
      </c>
      <c r="F24" s="36">
        <v>4776198.97</v>
      </c>
      <c r="G24" s="36">
        <v>2738749.39</v>
      </c>
      <c r="H24" s="36">
        <v>6021720.7599999998</v>
      </c>
      <c r="I24" s="37">
        <v>4106525.17</v>
      </c>
      <c r="J24" s="36">
        <v>4026010.73</v>
      </c>
      <c r="K24" s="36">
        <v>4052262.27</v>
      </c>
      <c r="L24" s="37">
        <v>4933234.1399999997</v>
      </c>
      <c r="M24" s="37">
        <v>4579004.8</v>
      </c>
      <c r="N24" s="37">
        <v>4590683.75</v>
      </c>
      <c r="O24" s="36">
        <v>54860656.539999999</v>
      </c>
      <c r="P24" s="28" t="str">
        <f t="shared" si="1"/>
        <v xml:space="preserve">      ♪</v>
      </c>
      <c r="Q24" s="28"/>
      <c r="R24" s="28"/>
      <c r="S24" s="36"/>
    </row>
    <row r="25" spans="1:19" x14ac:dyDescent="0.2">
      <c r="A25" s="28" t="s">
        <v>20</v>
      </c>
      <c r="B25" s="28"/>
      <c r="C25" s="36">
        <v>0</v>
      </c>
      <c r="D25" s="36">
        <v>0</v>
      </c>
      <c r="E25" s="36">
        <v>140826316.94</v>
      </c>
      <c r="F25" s="36">
        <v>0</v>
      </c>
      <c r="G25" s="36">
        <v>0</v>
      </c>
      <c r="H25" s="36">
        <v>147854580.25999999</v>
      </c>
      <c r="I25" s="37">
        <v>0</v>
      </c>
      <c r="J25" s="36">
        <v>0</v>
      </c>
      <c r="K25" s="36">
        <v>136082641.49000001</v>
      </c>
      <c r="L25" s="37">
        <v>0</v>
      </c>
      <c r="M25" s="37">
        <v>0</v>
      </c>
      <c r="N25" s="37">
        <v>159694798.48999998</v>
      </c>
      <c r="O25" s="36">
        <v>584458337.17999995</v>
      </c>
      <c r="P25" s="28" t="str">
        <f t="shared" si="1"/>
        <v xml:space="preserve">      ♪</v>
      </c>
      <c r="Q25" s="28"/>
      <c r="R25" s="28"/>
      <c r="S25" s="28"/>
    </row>
    <row r="26" spans="1:19" x14ac:dyDescent="0.2">
      <c r="A26" s="28" t="s">
        <v>21</v>
      </c>
      <c r="B26" s="28"/>
      <c r="C26" s="36">
        <v>214620.17</v>
      </c>
      <c r="D26" s="36">
        <v>204097.17</v>
      </c>
      <c r="E26" s="36">
        <v>215304.12</v>
      </c>
      <c r="F26" s="36">
        <v>210149.22999999998</v>
      </c>
      <c r="G26" s="36">
        <v>225010.82</v>
      </c>
      <c r="H26" s="36">
        <v>200365.98</v>
      </c>
      <c r="I26" s="37">
        <v>181579.34</v>
      </c>
      <c r="J26" s="36">
        <v>170322.05</v>
      </c>
      <c r="K26" s="36">
        <v>193036.15000000002</v>
      </c>
      <c r="L26" s="37">
        <v>189584.44</v>
      </c>
      <c r="M26" s="37">
        <v>203757.53</v>
      </c>
      <c r="N26" s="37">
        <v>203477.93</v>
      </c>
      <c r="O26" s="36">
        <v>2411304.9300000002</v>
      </c>
      <c r="P26" s="28" t="str">
        <f t="shared" si="1"/>
        <v xml:space="preserve">      ♪</v>
      </c>
      <c r="Q26" s="28"/>
      <c r="R26" s="28"/>
      <c r="S26" s="28"/>
    </row>
    <row r="27" spans="1:19" x14ac:dyDescent="0.2">
      <c r="A27" s="28" t="s">
        <v>22</v>
      </c>
      <c r="B27" s="28"/>
      <c r="C27" s="36">
        <v>0</v>
      </c>
      <c r="D27" s="36">
        <v>0</v>
      </c>
      <c r="E27" s="36">
        <v>26612139.02</v>
      </c>
      <c r="F27" s="36">
        <v>0</v>
      </c>
      <c r="G27" s="36">
        <v>0</v>
      </c>
      <c r="H27" s="36">
        <v>20802317.409999996</v>
      </c>
      <c r="I27" s="37">
        <v>0</v>
      </c>
      <c r="J27" s="36">
        <v>0</v>
      </c>
      <c r="K27" s="36">
        <v>23905745.829999998</v>
      </c>
      <c r="L27" s="37">
        <v>0</v>
      </c>
      <c r="M27" s="37">
        <v>0</v>
      </c>
      <c r="N27" s="37">
        <v>22804048.379999999</v>
      </c>
      <c r="O27" s="36">
        <v>94124250.639999986</v>
      </c>
      <c r="P27" s="28" t="str">
        <f t="shared" si="1"/>
        <v xml:space="preserve">      ♪</v>
      </c>
      <c r="Q27" s="28"/>
      <c r="R27" s="28"/>
      <c r="S27" s="28"/>
    </row>
    <row r="28" spans="1:19" x14ac:dyDescent="0.2">
      <c r="A28" s="28" t="s">
        <v>23</v>
      </c>
      <c r="B28" s="28"/>
      <c r="C28" s="36">
        <v>5051231.5999999996</v>
      </c>
      <c r="D28" s="36">
        <v>8457076.5500000007</v>
      </c>
      <c r="E28" s="36">
        <v>15515400.84</v>
      </c>
      <c r="F28" s="36">
        <v>13445864.300000001</v>
      </c>
      <c r="G28" s="36">
        <v>7366227.5700000003</v>
      </c>
      <c r="H28" s="36">
        <v>12290013.83</v>
      </c>
      <c r="I28" s="37">
        <v>2906500.79</v>
      </c>
      <c r="J28" s="36">
        <v>29509341.469999999</v>
      </c>
      <c r="K28" s="36">
        <v>7453624.9500000002</v>
      </c>
      <c r="L28" s="37">
        <v>6910266.1500000004</v>
      </c>
      <c r="M28" s="37">
        <v>8479983.75</v>
      </c>
      <c r="N28" s="37">
        <v>11889341.82</v>
      </c>
      <c r="O28" s="36">
        <v>129274873.62</v>
      </c>
      <c r="P28" s="28" t="str">
        <f t="shared" si="1"/>
        <v xml:space="preserve">      ♪</v>
      </c>
      <c r="Q28" s="28"/>
      <c r="R28" s="28"/>
      <c r="S28" s="28"/>
    </row>
    <row r="29" spans="1:19" x14ac:dyDescent="0.2">
      <c r="A29" s="28" t="s">
        <v>24</v>
      </c>
      <c r="B29" s="28"/>
      <c r="C29" s="36">
        <v>0</v>
      </c>
      <c r="D29" s="36">
        <v>0</v>
      </c>
      <c r="E29" s="36">
        <v>549692.49</v>
      </c>
      <c r="F29" s="36">
        <v>0</v>
      </c>
      <c r="G29" s="36">
        <v>0</v>
      </c>
      <c r="H29" s="36">
        <v>546087.11</v>
      </c>
      <c r="I29" s="37">
        <v>0</v>
      </c>
      <c r="J29" s="36">
        <v>0</v>
      </c>
      <c r="K29" s="36">
        <v>528500</v>
      </c>
      <c r="L29" s="37">
        <v>0</v>
      </c>
      <c r="M29" s="37">
        <v>0</v>
      </c>
      <c r="N29" s="37">
        <v>536270</v>
      </c>
      <c r="O29" s="36">
        <v>2160549.6</v>
      </c>
      <c r="P29" s="28" t="str">
        <f t="shared" si="1"/>
        <v xml:space="preserve">      ♪</v>
      </c>
      <c r="Q29" s="28"/>
      <c r="R29" s="28"/>
      <c r="S29" s="28"/>
    </row>
    <row r="30" spans="1:19" x14ac:dyDescent="0.2">
      <c r="A30" s="28" t="s">
        <v>54</v>
      </c>
      <c r="B30" s="28"/>
      <c r="C30" s="36">
        <v>0</v>
      </c>
      <c r="D30" s="36">
        <v>0</v>
      </c>
      <c r="E30" s="36">
        <v>832480.94</v>
      </c>
      <c r="F30" s="36">
        <v>0</v>
      </c>
      <c r="G30" s="36">
        <v>0</v>
      </c>
      <c r="H30" s="36">
        <v>70778462.099999994</v>
      </c>
      <c r="I30" s="37">
        <v>0</v>
      </c>
      <c r="J30" s="36">
        <v>0</v>
      </c>
      <c r="K30" s="36">
        <v>0</v>
      </c>
      <c r="L30" s="37">
        <v>0</v>
      </c>
      <c r="M30" s="37">
        <v>0</v>
      </c>
      <c r="N30" s="37">
        <v>119028.85</v>
      </c>
      <c r="O30" s="36">
        <v>71729971.889999986</v>
      </c>
      <c r="P30" s="28" t="str">
        <f t="shared" si="1"/>
        <v xml:space="preserve">      ♪</v>
      </c>
      <c r="Q30" s="28"/>
      <c r="R30" s="28"/>
      <c r="S30" s="28"/>
    </row>
    <row r="31" spans="1:19" x14ac:dyDescent="0.2">
      <c r="A31" s="28" t="s">
        <v>25</v>
      </c>
      <c r="B31" s="28"/>
      <c r="C31" s="36">
        <v>0</v>
      </c>
      <c r="D31" s="36">
        <v>0</v>
      </c>
      <c r="E31" s="36">
        <v>28420652.260000002</v>
      </c>
      <c r="F31" s="36">
        <v>0</v>
      </c>
      <c r="G31" s="36">
        <v>0</v>
      </c>
      <c r="H31" s="36">
        <v>24445982.57</v>
      </c>
      <c r="I31" s="37">
        <v>0</v>
      </c>
      <c r="J31" s="36">
        <v>0</v>
      </c>
      <c r="K31" s="36">
        <v>25164677.030000001</v>
      </c>
      <c r="L31" s="37">
        <v>0</v>
      </c>
      <c r="M31" s="37">
        <v>0</v>
      </c>
      <c r="N31" s="37">
        <v>30959060.510000002</v>
      </c>
      <c r="O31" s="36">
        <v>108990372.37</v>
      </c>
      <c r="P31" s="28" t="str">
        <f t="shared" si="1"/>
        <v xml:space="preserve">      ♪</v>
      </c>
      <c r="Q31" s="28"/>
      <c r="R31" s="28"/>
      <c r="S31" s="28"/>
    </row>
    <row r="32" spans="1:19" x14ac:dyDescent="0.2">
      <c r="A32" s="28" t="s">
        <v>26</v>
      </c>
      <c r="B32" s="41"/>
      <c r="C32" s="36"/>
      <c r="D32" s="36"/>
      <c r="E32" s="36"/>
      <c r="F32" s="36"/>
      <c r="G32" s="36"/>
      <c r="H32" s="36"/>
      <c r="I32" s="37"/>
      <c r="J32" s="36"/>
      <c r="K32" s="36"/>
      <c r="L32" s="37"/>
      <c r="M32" s="37"/>
      <c r="N32" s="42"/>
      <c r="O32" s="36"/>
      <c r="P32" s="28"/>
      <c r="Q32" s="28"/>
      <c r="R32" s="28"/>
      <c r="S32" s="28"/>
    </row>
    <row r="33" spans="1:19" x14ac:dyDescent="0.2">
      <c r="A33" s="38" t="s">
        <v>27</v>
      </c>
      <c r="B33" s="28"/>
      <c r="C33" s="36">
        <v>2608762.3199999998</v>
      </c>
      <c r="D33" s="36">
        <v>2245401.13</v>
      </c>
      <c r="E33" s="36">
        <v>2758456.51</v>
      </c>
      <c r="F33" s="36">
        <v>3504222.6</v>
      </c>
      <c r="G33" s="36">
        <v>3158646.68</v>
      </c>
      <c r="H33" s="36">
        <v>2251740.89</v>
      </c>
      <c r="I33" s="37">
        <v>2751605.19</v>
      </c>
      <c r="J33" s="36">
        <v>3083678.4699999997</v>
      </c>
      <c r="K33" s="36">
        <v>2826389.9699999997</v>
      </c>
      <c r="L33" s="37">
        <v>2496121.27</v>
      </c>
      <c r="M33" s="37">
        <v>3156231.8099999996</v>
      </c>
      <c r="N33" s="37">
        <v>2268524.16</v>
      </c>
      <c r="O33" s="36">
        <v>33109780.999999996</v>
      </c>
      <c r="P33" s="28" t="str">
        <f t="shared" si="1"/>
        <v xml:space="preserve">      ♪</v>
      </c>
      <c r="Q33" s="28"/>
      <c r="R33" s="28"/>
      <c r="S33" s="28"/>
    </row>
    <row r="34" spans="1:19" x14ac:dyDescent="0.2">
      <c r="A34" s="38" t="s">
        <v>28</v>
      </c>
      <c r="B34" s="36"/>
      <c r="C34" s="36">
        <v>18558131.390000001</v>
      </c>
      <c r="D34" s="36">
        <v>15700224.120000001</v>
      </c>
      <c r="E34" s="36">
        <v>19272011.620000001</v>
      </c>
      <c r="F34" s="36">
        <v>26711978.759999998</v>
      </c>
      <c r="G34" s="36">
        <v>23457378.599999998</v>
      </c>
      <c r="H34" s="36">
        <v>16778165.800000001</v>
      </c>
      <c r="I34" s="37">
        <v>20658469.890000001</v>
      </c>
      <c r="J34" s="36">
        <v>23382883.419999998</v>
      </c>
      <c r="K34" s="36">
        <v>20994503.309999999</v>
      </c>
      <c r="L34" s="37">
        <v>18417556.460000001</v>
      </c>
      <c r="M34" s="37">
        <v>23682219.430000003</v>
      </c>
      <c r="N34" s="37">
        <v>17391000.159999996</v>
      </c>
      <c r="O34" s="36">
        <v>245004522.96000001</v>
      </c>
      <c r="P34" s="28" t="str">
        <f t="shared" si="1"/>
        <v xml:space="preserve">      ♪</v>
      </c>
      <c r="Q34" s="28"/>
      <c r="R34" s="28"/>
      <c r="S34" s="28"/>
    </row>
    <row r="35" spans="1:19" x14ac:dyDescent="0.2">
      <c r="A35" s="38" t="s">
        <v>29</v>
      </c>
      <c r="B35" s="36"/>
      <c r="C35" s="36">
        <v>3370172.19</v>
      </c>
      <c r="D35" s="36">
        <v>3307965.51</v>
      </c>
      <c r="E35" s="36">
        <v>3695943.74</v>
      </c>
      <c r="F35" s="36">
        <v>4344316.1100000003</v>
      </c>
      <c r="G35" s="36">
        <v>3776827.82</v>
      </c>
      <c r="H35" s="36">
        <v>3607927.17</v>
      </c>
      <c r="I35" s="37">
        <v>3814017.3</v>
      </c>
      <c r="J35" s="36">
        <v>3982166.37</v>
      </c>
      <c r="K35" s="36">
        <v>4137025.36</v>
      </c>
      <c r="L35" s="37">
        <v>3144069.87</v>
      </c>
      <c r="M35" s="37">
        <v>4294202.54</v>
      </c>
      <c r="N35" s="37">
        <v>3683166.93</v>
      </c>
      <c r="O35" s="36">
        <v>45157800.909999996</v>
      </c>
      <c r="P35" s="28" t="str">
        <f t="shared" si="1"/>
        <v xml:space="preserve">      ♪</v>
      </c>
      <c r="Q35" s="28"/>
      <c r="R35" s="28"/>
      <c r="S35" s="28"/>
    </row>
    <row r="36" spans="1:19" x14ac:dyDescent="0.2">
      <c r="A36" s="38" t="s">
        <v>30</v>
      </c>
      <c r="B36" s="36"/>
      <c r="C36" s="36">
        <v>6284271.9199999999</v>
      </c>
      <c r="D36" s="36">
        <v>5031991.6500000004</v>
      </c>
      <c r="E36" s="36">
        <v>13311391.060000001</v>
      </c>
      <c r="F36" s="36">
        <v>3500088.36</v>
      </c>
      <c r="G36" s="36">
        <v>2551547.33</v>
      </c>
      <c r="H36" s="36">
        <v>1373609.4200000002</v>
      </c>
      <c r="I36" s="37">
        <v>922183.87</v>
      </c>
      <c r="J36" s="36">
        <v>2589156.64</v>
      </c>
      <c r="K36" s="36">
        <v>747709.71</v>
      </c>
      <c r="L36" s="37">
        <v>613996.34</v>
      </c>
      <c r="M36" s="37">
        <v>1307099.8500000001</v>
      </c>
      <c r="N36" s="37">
        <v>283171638.14000005</v>
      </c>
      <c r="O36" s="36">
        <v>321404684.29000008</v>
      </c>
      <c r="P36" s="28" t="str">
        <f t="shared" si="1"/>
        <v xml:space="preserve">      ♪</v>
      </c>
      <c r="Q36" s="28"/>
      <c r="R36" s="28"/>
      <c r="S36" s="28"/>
    </row>
    <row r="37" spans="1:19" x14ac:dyDescent="0.2">
      <c r="A37" s="43" t="s">
        <v>31</v>
      </c>
      <c r="B37" s="36"/>
      <c r="C37" s="36">
        <v>6441200.3700000001</v>
      </c>
      <c r="D37" s="36">
        <v>6501253.9299999997</v>
      </c>
      <c r="E37" s="36">
        <v>6175563.9800000004</v>
      </c>
      <c r="F37" s="36">
        <v>6265756.8399999999</v>
      </c>
      <c r="G37" s="36">
        <v>4963343.3899999997</v>
      </c>
      <c r="H37" s="36">
        <v>5386685.6799999997</v>
      </c>
      <c r="I37" s="37">
        <v>8055986.5199999996</v>
      </c>
      <c r="J37" s="36">
        <v>6412392.9699999997</v>
      </c>
      <c r="K37" s="36">
        <v>6461782.8399999999</v>
      </c>
      <c r="L37" s="37">
        <v>7007081.29</v>
      </c>
      <c r="M37" s="37">
        <v>5763865.0899999999</v>
      </c>
      <c r="N37" s="37">
        <v>7365250.0099999998</v>
      </c>
      <c r="O37" s="36">
        <v>76800162.909999996</v>
      </c>
      <c r="P37" s="28" t="str">
        <f t="shared" si="1"/>
        <v xml:space="preserve">      ♪</v>
      </c>
      <c r="Q37" s="28"/>
      <c r="R37" s="28"/>
      <c r="S37" s="28"/>
    </row>
    <row r="38" spans="1:19" x14ac:dyDescent="0.2">
      <c r="A38" s="43" t="s">
        <v>32</v>
      </c>
      <c r="B38" s="36"/>
      <c r="C38" s="36">
        <v>3619969.44</v>
      </c>
      <c r="D38" s="36">
        <v>4093722.91</v>
      </c>
      <c r="E38" s="36">
        <v>3663097.43</v>
      </c>
      <c r="F38" s="36">
        <v>3713099.08</v>
      </c>
      <c r="G38" s="36">
        <v>3524524.56</v>
      </c>
      <c r="H38" s="36">
        <v>3221525.74</v>
      </c>
      <c r="I38" s="37">
        <v>4366862.45</v>
      </c>
      <c r="J38" s="36">
        <v>3265593.26</v>
      </c>
      <c r="K38" s="36">
        <v>3596963.67</v>
      </c>
      <c r="L38" s="37">
        <v>3414753.25</v>
      </c>
      <c r="M38" s="37">
        <v>3586528.81</v>
      </c>
      <c r="N38" s="37">
        <v>3670505.91</v>
      </c>
      <c r="O38" s="36">
        <v>43737146.510000005</v>
      </c>
      <c r="P38" s="28" t="str">
        <f t="shared" si="1"/>
        <v xml:space="preserve">      ♪</v>
      </c>
      <c r="Q38" s="28"/>
      <c r="R38" s="28"/>
      <c r="S38" s="28"/>
    </row>
    <row r="39" spans="1:19" x14ac:dyDescent="0.2">
      <c r="A39" s="28"/>
      <c r="B39" s="28"/>
      <c r="C39" s="34" t="s">
        <v>5</v>
      </c>
      <c r="D39" s="34" t="s">
        <v>5</v>
      </c>
      <c r="E39" s="34" t="s">
        <v>5</v>
      </c>
      <c r="F39" s="34" t="s">
        <v>5</v>
      </c>
      <c r="G39" s="34" t="s">
        <v>5</v>
      </c>
      <c r="H39" s="34" t="s">
        <v>5</v>
      </c>
      <c r="I39" s="34" t="s">
        <v>5</v>
      </c>
      <c r="J39" s="34" t="s">
        <v>5</v>
      </c>
      <c r="K39" s="34" t="s">
        <v>5</v>
      </c>
      <c r="L39" s="34" t="s">
        <v>5</v>
      </c>
      <c r="M39" s="34" t="s">
        <v>5</v>
      </c>
      <c r="N39" s="34" t="s">
        <v>5</v>
      </c>
      <c r="O39" s="34" t="s">
        <v>5</v>
      </c>
      <c r="P39" s="28"/>
      <c r="Q39" s="28"/>
      <c r="R39" s="28"/>
      <c r="S39" s="28"/>
    </row>
    <row r="40" spans="1:19" x14ac:dyDescent="0.2">
      <c r="A40" s="28" t="s">
        <v>33</v>
      </c>
      <c r="B40" s="28"/>
      <c r="C40" s="36">
        <v>68979430.319999993</v>
      </c>
      <c r="D40" s="36">
        <v>63663487.869999997</v>
      </c>
      <c r="E40" s="36">
        <v>280071654.06999999</v>
      </c>
      <c r="F40" s="36">
        <v>79216661.189999998</v>
      </c>
      <c r="G40" s="36">
        <v>64808259.379999995</v>
      </c>
      <c r="H40" s="36">
        <v>332005323.33000004</v>
      </c>
      <c r="I40" s="36">
        <v>60083496.140000001</v>
      </c>
      <c r="J40" s="36">
        <v>88836948.469999984</v>
      </c>
      <c r="K40" s="36">
        <v>243826863.10999998</v>
      </c>
      <c r="L40" s="36">
        <v>61261135.560000002</v>
      </c>
      <c r="M40" s="36">
        <v>67689900.910000011</v>
      </c>
      <c r="N40" s="36">
        <v>563370728.93999994</v>
      </c>
      <c r="O40" s="36">
        <v>1973813889.2900002</v>
      </c>
      <c r="P40" s="28" t="str">
        <f>IF(SUM(C40:N40)=O40, "      ♪", "NO")</f>
        <v xml:space="preserve">      ♪</v>
      </c>
      <c r="Q40" s="28"/>
      <c r="R40" s="28"/>
      <c r="S40" s="28"/>
    </row>
    <row r="41" spans="1:19" x14ac:dyDescent="0.2">
      <c r="A41" s="28"/>
      <c r="B41" s="28"/>
      <c r="C41" s="31"/>
      <c r="D41" s="36"/>
      <c r="E41" s="36"/>
      <c r="F41" s="36"/>
      <c r="G41" s="31"/>
      <c r="H41" s="31"/>
      <c r="I41" s="31"/>
      <c r="J41" s="31"/>
      <c r="K41" s="31"/>
      <c r="L41" s="31"/>
      <c r="M41" s="31"/>
      <c r="N41" s="31"/>
      <c r="O41" s="28"/>
      <c r="P41" s="28"/>
      <c r="Q41" s="28"/>
      <c r="R41" s="28"/>
      <c r="S41" s="28"/>
    </row>
    <row r="42" spans="1:19" x14ac:dyDescent="0.2">
      <c r="A42" s="28"/>
      <c r="B42" s="28"/>
      <c r="C42" s="31"/>
      <c r="D42" s="31"/>
      <c r="E42" s="31"/>
      <c r="F42" s="31"/>
      <c r="G42" s="36"/>
      <c r="H42" s="31"/>
      <c r="I42" s="37"/>
      <c r="J42" s="36"/>
      <c r="K42" s="39"/>
      <c r="L42" s="37"/>
      <c r="M42" s="37"/>
      <c r="N42" s="37"/>
      <c r="O42" s="28"/>
      <c r="P42" s="28"/>
      <c r="Q42" s="28"/>
      <c r="R42" s="28"/>
      <c r="S42" s="28"/>
    </row>
    <row r="43" spans="1:19" x14ac:dyDescent="0.2">
      <c r="A43" s="28" t="s">
        <v>34</v>
      </c>
      <c r="B43" s="31"/>
      <c r="C43" s="36"/>
      <c r="D43" s="31"/>
      <c r="E43" s="31"/>
      <c r="F43" s="31"/>
      <c r="G43" s="31"/>
      <c r="H43" s="36"/>
      <c r="I43" s="31"/>
      <c r="J43" s="31"/>
      <c r="K43" s="31"/>
      <c r="L43" s="31"/>
      <c r="M43" s="31"/>
      <c r="N43" s="31"/>
      <c r="O43" s="31"/>
      <c r="P43" s="31"/>
      <c r="Q43" s="31"/>
      <c r="R43" s="28"/>
      <c r="S43" s="28"/>
    </row>
    <row r="44" spans="1:19" x14ac:dyDescent="0.2">
      <c r="A44" s="28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6" spans="1:19" x14ac:dyDescent="0.2">
      <c r="A46" s="44"/>
      <c r="B46" s="31"/>
      <c r="C46" s="31"/>
      <c r="D46" s="36"/>
      <c r="E46" s="36"/>
      <c r="F46" s="36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19" x14ac:dyDescent="0.2">
      <c r="A47" s="31"/>
      <c r="B47" s="31"/>
      <c r="C47" s="31"/>
      <c r="D47" s="31"/>
      <c r="E47" s="31"/>
      <c r="F47" s="31"/>
      <c r="G47" s="36"/>
      <c r="H47" s="31"/>
      <c r="I47" s="37"/>
      <c r="J47" s="36"/>
      <c r="K47" s="39"/>
      <c r="L47" s="37"/>
      <c r="M47" s="37"/>
      <c r="N47" s="37"/>
      <c r="O47" s="31"/>
      <c r="P47" s="31"/>
      <c r="Q47" s="31"/>
      <c r="R47" s="31"/>
      <c r="S47" s="31"/>
    </row>
    <row r="48" spans="1:19" x14ac:dyDescent="0.2">
      <c r="A48" s="31"/>
      <c r="B48" s="31"/>
      <c r="C48" s="31"/>
      <c r="D48" s="31"/>
      <c r="E48" s="31"/>
      <c r="F48" s="31"/>
      <c r="G48" s="31"/>
      <c r="H48" s="36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B7DDF-1FF0-4341-94D8-6647314B3199}">
  <dimension ref="A1:M53"/>
  <sheetViews>
    <sheetView workbookViewId="0">
      <selection activeCell="B4" sqref="B4:I44"/>
    </sheetView>
  </sheetViews>
  <sheetFormatPr defaultRowHeight="14.25" x14ac:dyDescent="0.2"/>
  <cols>
    <col min="1" max="1" width="57.875" bestFit="1" customWidth="1"/>
    <col min="2" max="2" width="13" customWidth="1"/>
    <col min="3" max="4" width="12.625" customWidth="1"/>
    <col min="5" max="5" width="9.875" customWidth="1"/>
    <col min="6" max="6" width="13.875" customWidth="1"/>
    <col min="7" max="7" width="13.75" customWidth="1"/>
    <col min="8" max="8" width="12.25" customWidth="1"/>
    <col min="9" max="9" width="8.875" customWidth="1"/>
    <col min="14" max="14" width="14.125" bestFit="1" customWidth="1"/>
    <col min="20" max="20" width="7.875" customWidth="1"/>
  </cols>
  <sheetData>
    <row r="1" spans="1:13" ht="18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27"/>
      <c r="K1" s="5"/>
      <c r="L1" s="5"/>
      <c r="M1" s="5"/>
    </row>
    <row r="2" spans="1:13" x14ac:dyDescent="0.2">
      <c r="A2" s="53" t="s">
        <v>66</v>
      </c>
      <c r="B2" s="53"/>
      <c r="C2" s="53"/>
      <c r="D2" s="53"/>
      <c r="E2" s="53"/>
      <c r="F2" s="53"/>
      <c r="G2" s="53"/>
      <c r="H2" s="53"/>
      <c r="I2" s="53"/>
      <c r="J2" s="6"/>
      <c r="K2" s="5"/>
      <c r="L2" s="5"/>
      <c r="M2" s="5"/>
    </row>
    <row r="3" spans="1:13" x14ac:dyDescent="0.2">
      <c r="A3" s="7"/>
      <c r="B3" s="5"/>
      <c r="C3" s="8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">
      <c r="A4" s="7"/>
      <c r="B4" s="5"/>
      <c r="C4" s="5"/>
      <c r="D4" s="9" t="s">
        <v>35</v>
      </c>
      <c r="E4" s="5"/>
      <c r="F4" s="6" t="s">
        <v>36</v>
      </c>
      <c r="G4" s="6" t="s">
        <v>37</v>
      </c>
      <c r="H4" s="10" t="s">
        <v>35</v>
      </c>
      <c r="I4" s="5"/>
      <c r="J4" s="5"/>
      <c r="K4" s="5"/>
      <c r="L4" s="5"/>
      <c r="M4" s="5"/>
    </row>
    <row r="5" spans="1:13" x14ac:dyDescent="0.2">
      <c r="A5" s="5"/>
      <c r="B5" s="11" t="s">
        <v>67</v>
      </c>
      <c r="C5" s="9" t="s">
        <v>52</v>
      </c>
      <c r="D5" s="8" t="s">
        <v>38</v>
      </c>
      <c r="E5" s="6" t="s">
        <v>39</v>
      </c>
      <c r="F5" s="6" t="s">
        <v>40</v>
      </c>
      <c r="G5" s="6" t="s">
        <v>40</v>
      </c>
      <c r="H5" s="6" t="s">
        <v>38</v>
      </c>
      <c r="I5" s="6" t="s">
        <v>39</v>
      </c>
      <c r="J5" s="5"/>
      <c r="K5" s="5"/>
      <c r="L5" s="5"/>
      <c r="M5" s="6"/>
    </row>
    <row r="6" spans="1:13" x14ac:dyDescent="0.2">
      <c r="A6" s="5"/>
      <c r="B6" s="12" t="s">
        <v>5</v>
      </c>
      <c r="C6" s="12" t="s">
        <v>5</v>
      </c>
      <c r="D6" s="12" t="s">
        <v>5</v>
      </c>
      <c r="E6" s="13" t="s">
        <v>5</v>
      </c>
      <c r="F6" s="13" t="s">
        <v>5</v>
      </c>
      <c r="G6" s="13" t="s">
        <v>5</v>
      </c>
      <c r="H6" s="13" t="s">
        <v>5</v>
      </c>
      <c r="I6" s="13" t="s">
        <v>5</v>
      </c>
      <c r="J6" s="5"/>
      <c r="K6" s="5"/>
      <c r="L6" s="5"/>
      <c r="M6" s="6"/>
    </row>
    <row r="7" spans="1:13" x14ac:dyDescent="0.2">
      <c r="A7" s="2" t="s">
        <v>68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4"/>
    </row>
    <row r="8" spans="1:13" x14ac:dyDescent="0.2">
      <c r="A8" s="15" t="s">
        <v>41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">
      <c r="A9" s="3" t="s">
        <v>6</v>
      </c>
      <c r="B9" s="16">
        <v>147467006.28</v>
      </c>
      <c r="C9" s="16">
        <v>149376163.99000001</v>
      </c>
      <c r="D9" s="16">
        <v>-1909157.7100000083</v>
      </c>
      <c r="E9" s="17">
        <v>-1.2780872523462425E-2</v>
      </c>
      <c r="F9" s="18">
        <v>147467006.28</v>
      </c>
      <c r="G9" s="18">
        <v>149376163.99000001</v>
      </c>
      <c r="H9" s="18">
        <v>-1909157.7100000083</v>
      </c>
      <c r="I9" s="17">
        <v>-1.2780872523462425E-2</v>
      </c>
      <c r="J9" s="5"/>
      <c r="K9" s="5"/>
      <c r="L9" s="5"/>
      <c r="M9" s="18"/>
    </row>
    <row r="10" spans="1:13" x14ac:dyDescent="0.2">
      <c r="A10" s="3" t="s">
        <v>7</v>
      </c>
      <c r="B10" s="16">
        <v>184510767.44</v>
      </c>
      <c r="C10" s="16">
        <v>190399527.75999999</v>
      </c>
      <c r="D10" s="16">
        <v>-5888760.3199999928</v>
      </c>
      <c r="E10" s="17">
        <v>-3.0928439735537678E-2</v>
      </c>
      <c r="F10" s="18">
        <v>184510767.44</v>
      </c>
      <c r="G10" s="18">
        <v>190399527.75999999</v>
      </c>
      <c r="H10" s="18">
        <v>-5888760.3199999928</v>
      </c>
      <c r="I10" s="17">
        <v>-3.0928439735537678E-2</v>
      </c>
      <c r="J10" s="5"/>
      <c r="K10" s="5"/>
      <c r="L10" s="5"/>
      <c r="M10" s="18"/>
    </row>
    <row r="11" spans="1:13" x14ac:dyDescent="0.2">
      <c r="A11" s="3" t="s">
        <v>8</v>
      </c>
      <c r="B11" s="16">
        <v>35454892.960000001</v>
      </c>
      <c r="C11" s="16">
        <v>36517916.420000002</v>
      </c>
      <c r="D11" s="16">
        <v>-1063023.4600000009</v>
      </c>
      <c r="E11" s="17">
        <v>-2.9109641628343504E-2</v>
      </c>
      <c r="F11" s="18">
        <v>35454892.960000001</v>
      </c>
      <c r="G11" s="18">
        <v>36517916.420000002</v>
      </c>
      <c r="H11" s="18">
        <v>-1063023.4600000009</v>
      </c>
      <c r="I11" s="17">
        <v>-2.9109641628343504E-2</v>
      </c>
      <c r="J11" s="5"/>
      <c r="K11" s="5"/>
      <c r="L11" s="5"/>
      <c r="M11" s="18"/>
    </row>
    <row r="12" spans="1:13" x14ac:dyDescent="0.2">
      <c r="A12" s="3" t="s">
        <v>9</v>
      </c>
      <c r="B12" s="16">
        <v>124070519.86</v>
      </c>
      <c r="C12" s="16">
        <v>127780119.48</v>
      </c>
      <c r="D12" s="16">
        <v>-3709599.6200000048</v>
      </c>
      <c r="E12" s="17">
        <v>-2.9031117165144199E-2</v>
      </c>
      <c r="F12" s="18">
        <v>124070519.86</v>
      </c>
      <c r="G12" s="18">
        <v>127780119.48</v>
      </c>
      <c r="H12" s="18">
        <v>-3709599.6200000048</v>
      </c>
      <c r="I12" s="17">
        <v>-2.9031117165144199E-2</v>
      </c>
      <c r="J12" s="5"/>
      <c r="K12" s="5"/>
      <c r="L12" s="5"/>
      <c r="M12" s="18"/>
    </row>
    <row r="13" spans="1:13" x14ac:dyDescent="0.2">
      <c r="A13" s="3" t="s">
        <v>10</v>
      </c>
      <c r="B13" s="16">
        <v>97152341.010000005</v>
      </c>
      <c r="C13" s="16">
        <v>100487539.72</v>
      </c>
      <c r="D13" s="16">
        <v>-3335198.7099999934</v>
      </c>
      <c r="E13" s="17">
        <v>-3.3190171829196355E-2</v>
      </c>
      <c r="F13" s="18">
        <v>97152341.010000005</v>
      </c>
      <c r="G13" s="18">
        <v>100487539.72</v>
      </c>
      <c r="H13" s="18">
        <v>-3335198.7099999934</v>
      </c>
      <c r="I13" s="17">
        <v>-3.3190171829196355E-2</v>
      </c>
      <c r="J13" s="5"/>
      <c r="K13" s="5"/>
      <c r="L13" s="5"/>
      <c r="M13" s="18"/>
    </row>
    <row r="14" spans="1:13" x14ac:dyDescent="0.2">
      <c r="A14" s="5"/>
      <c r="B14" s="12" t="s">
        <v>5</v>
      </c>
      <c r="C14" s="12" t="s">
        <v>5</v>
      </c>
      <c r="D14" s="12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5"/>
      <c r="K14" s="5"/>
      <c r="L14" s="5"/>
      <c r="M14" s="18"/>
    </row>
    <row r="15" spans="1:13" x14ac:dyDescent="0.2">
      <c r="A15" s="1" t="s">
        <v>11</v>
      </c>
      <c r="B15" s="19">
        <v>588655527.55000007</v>
      </c>
      <c r="C15" s="19">
        <v>604561267.37</v>
      </c>
      <c r="D15" s="19">
        <v>-15905739.82</v>
      </c>
      <c r="E15" s="20">
        <v>-2.6309558151474271E-2</v>
      </c>
      <c r="F15" s="21">
        <v>588655527.55000007</v>
      </c>
      <c r="G15" s="21">
        <v>604561267.37</v>
      </c>
      <c r="H15" s="21">
        <v>-15905739.82</v>
      </c>
      <c r="I15" s="20">
        <v>-2.6309558151474271E-2</v>
      </c>
      <c r="J15" s="1"/>
      <c r="K15" s="5"/>
      <c r="L15" s="5"/>
      <c r="M15" s="5"/>
    </row>
    <row r="16" spans="1:13" x14ac:dyDescent="0.2">
      <c r="A16" s="5"/>
      <c r="B16" s="16"/>
      <c r="C16" s="16"/>
      <c r="D16" s="5"/>
      <c r="E16" s="17"/>
      <c r="F16" s="5"/>
      <c r="G16" s="5"/>
      <c r="H16" s="5"/>
      <c r="I16" s="5"/>
      <c r="J16" s="5"/>
      <c r="K16" s="5"/>
      <c r="L16" s="5"/>
      <c r="M16" s="5"/>
    </row>
    <row r="17" spans="1:13" x14ac:dyDescent="0.2">
      <c r="A17" s="1" t="s">
        <v>12</v>
      </c>
      <c r="B17" s="16">
        <v>0</v>
      </c>
      <c r="C17" s="16">
        <v>0</v>
      </c>
      <c r="D17" s="16">
        <v>0</v>
      </c>
      <c r="E17" s="17">
        <v>0</v>
      </c>
      <c r="F17" s="18">
        <v>0</v>
      </c>
      <c r="G17" s="18">
        <v>0</v>
      </c>
      <c r="H17" s="18">
        <v>0</v>
      </c>
      <c r="I17" s="17">
        <v>0</v>
      </c>
      <c r="J17" s="5"/>
      <c r="K17" s="5"/>
      <c r="L17" s="5"/>
      <c r="M17" s="18"/>
    </row>
    <row r="18" spans="1:13" x14ac:dyDescent="0.2">
      <c r="A18" s="1" t="s">
        <v>13</v>
      </c>
      <c r="B18" s="16">
        <v>0</v>
      </c>
      <c r="C18" s="16">
        <v>0</v>
      </c>
      <c r="D18" s="16">
        <v>0</v>
      </c>
      <c r="E18" s="17">
        <v>0</v>
      </c>
      <c r="F18" s="18">
        <v>0</v>
      </c>
      <c r="G18" s="18">
        <v>0</v>
      </c>
      <c r="H18" s="18">
        <v>0</v>
      </c>
      <c r="I18" s="17">
        <v>0</v>
      </c>
      <c r="J18" s="5"/>
      <c r="K18" s="5"/>
      <c r="L18" s="5"/>
      <c r="M18" s="18"/>
    </row>
    <row r="19" spans="1:13" x14ac:dyDescent="0.2">
      <c r="A19" s="5"/>
      <c r="B19" s="12" t="s">
        <v>5</v>
      </c>
      <c r="C19" s="12" t="s">
        <v>5</v>
      </c>
      <c r="D19" s="12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5"/>
      <c r="K19" s="5"/>
      <c r="L19" s="5"/>
      <c r="M19" s="18"/>
    </row>
    <row r="20" spans="1:13" x14ac:dyDescent="0.2">
      <c r="A20" s="1" t="s">
        <v>14</v>
      </c>
      <c r="B20" s="16">
        <v>588655527.55000007</v>
      </c>
      <c r="C20" s="16">
        <v>604561267.37</v>
      </c>
      <c r="D20" s="16">
        <v>-15905739.82</v>
      </c>
      <c r="E20" s="17">
        <v>-2.6309558151474271E-2</v>
      </c>
      <c r="F20" s="16">
        <v>588655527.55000007</v>
      </c>
      <c r="G20" s="16">
        <v>604561267.37</v>
      </c>
      <c r="H20" s="16">
        <v>-15905739.82</v>
      </c>
      <c r="I20" s="17">
        <v>-2.6309558151474271E-2</v>
      </c>
      <c r="J20" s="5"/>
      <c r="K20" s="5"/>
      <c r="L20" s="5"/>
      <c r="M20" s="18"/>
    </row>
    <row r="21" spans="1:13" x14ac:dyDescent="0.2">
      <c r="A21" s="1"/>
      <c r="B21" s="16"/>
      <c r="C21" s="16"/>
      <c r="D21" s="16"/>
      <c r="E21" s="17"/>
      <c r="F21" s="18"/>
      <c r="G21" s="18"/>
      <c r="H21" s="18"/>
      <c r="I21" s="17"/>
      <c r="J21" s="5"/>
      <c r="K21" s="5"/>
      <c r="L21" s="5"/>
      <c r="M21" s="18"/>
    </row>
    <row r="22" spans="1:13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18"/>
    </row>
    <row r="23" spans="1:13" x14ac:dyDescent="0.2">
      <c r="A23" s="2" t="s">
        <v>53</v>
      </c>
      <c r="B23" s="16"/>
      <c r="C23" s="16"/>
      <c r="D23" s="16"/>
      <c r="E23" s="17"/>
      <c r="F23" s="18"/>
      <c r="G23" s="18"/>
      <c r="H23" s="18"/>
      <c r="I23" s="17"/>
      <c r="J23" s="5"/>
      <c r="K23" s="5"/>
      <c r="L23" s="5"/>
      <c r="M23" s="18"/>
    </row>
    <row r="24" spans="1:13" x14ac:dyDescent="0.2">
      <c r="A24" s="22" t="s">
        <v>42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8"/>
    </row>
    <row r="25" spans="1:13" x14ac:dyDescent="0.2">
      <c r="A25" s="1" t="s">
        <v>17</v>
      </c>
      <c r="B25" s="16">
        <v>10566991.380000001</v>
      </c>
      <c r="C25" s="16">
        <v>13745001.380000001</v>
      </c>
      <c r="D25" s="16">
        <v>-3178010</v>
      </c>
      <c r="E25" s="17">
        <v>-0.23121205390522848</v>
      </c>
      <c r="F25" s="18">
        <v>10566991.380000001</v>
      </c>
      <c r="G25" s="18">
        <v>13745001.380000001</v>
      </c>
      <c r="H25" s="18">
        <v>-3178010</v>
      </c>
      <c r="I25" s="17">
        <v>-0.23121205390522848</v>
      </c>
      <c r="J25" s="5"/>
      <c r="K25" s="5"/>
      <c r="L25" s="5"/>
      <c r="M25" s="18"/>
    </row>
    <row r="26" spans="1:13" x14ac:dyDescent="0.2">
      <c r="A26" s="1" t="s">
        <v>18</v>
      </c>
      <c r="B26" s="16">
        <v>2973302.63</v>
      </c>
      <c r="C26" s="16">
        <v>2568806.02</v>
      </c>
      <c r="D26" s="16">
        <v>404496.60999999987</v>
      </c>
      <c r="E26" s="17">
        <v>0.15746483263068647</v>
      </c>
      <c r="F26" s="18">
        <v>2973302.63</v>
      </c>
      <c r="G26" s="18">
        <v>2568806.02</v>
      </c>
      <c r="H26" s="18">
        <v>404496.60999999987</v>
      </c>
      <c r="I26" s="17">
        <v>0.15746483263068647</v>
      </c>
      <c r="J26" s="5"/>
      <c r="K26" s="5"/>
      <c r="L26" s="5"/>
      <c r="M26" s="18"/>
    </row>
    <row r="27" spans="1:13" x14ac:dyDescent="0.2">
      <c r="A27" s="1" t="s">
        <v>19</v>
      </c>
      <c r="B27" s="16">
        <v>3899600.8800000004</v>
      </c>
      <c r="C27" s="16">
        <v>6517263.5200000005</v>
      </c>
      <c r="D27" s="16">
        <v>-2617662.64</v>
      </c>
      <c r="E27" s="17">
        <v>-0.40165057496401496</v>
      </c>
      <c r="F27" s="18">
        <v>3899600.8800000004</v>
      </c>
      <c r="G27" s="18">
        <v>6517263.5200000005</v>
      </c>
      <c r="H27" s="18">
        <v>-2617662.64</v>
      </c>
      <c r="I27" s="17">
        <v>-0.40165057496401496</v>
      </c>
      <c r="J27" s="5"/>
      <c r="K27" s="5"/>
      <c r="L27" s="5"/>
      <c r="M27" s="18"/>
    </row>
    <row r="28" spans="1:13" x14ac:dyDescent="0.2">
      <c r="A28" s="1" t="s">
        <v>20</v>
      </c>
      <c r="B28" s="16"/>
      <c r="C28" s="16">
        <v>0</v>
      </c>
      <c r="D28" s="16">
        <v>0</v>
      </c>
      <c r="E28" s="17">
        <v>0</v>
      </c>
      <c r="F28" s="18">
        <v>0</v>
      </c>
      <c r="G28" s="18">
        <v>0</v>
      </c>
      <c r="H28" s="18">
        <v>0</v>
      </c>
      <c r="I28" s="17">
        <v>0</v>
      </c>
      <c r="J28" s="5"/>
      <c r="K28" s="5"/>
      <c r="L28" s="5"/>
      <c r="M28" s="18"/>
    </row>
    <row r="29" spans="1:13" x14ac:dyDescent="0.2">
      <c r="A29" s="1" t="s">
        <v>21</v>
      </c>
      <c r="B29" s="16">
        <v>221831.05000000002</v>
      </c>
      <c r="C29" s="16">
        <v>214620.17</v>
      </c>
      <c r="D29" s="16">
        <v>7210.8800000000047</v>
      </c>
      <c r="E29" s="17">
        <v>3.3598333278740782E-2</v>
      </c>
      <c r="F29" s="18">
        <v>221831.05000000002</v>
      </c>
      <c r="G29" s="18">
        <v>214620.17</v>
      </c>
      <c r="H29" s="18">
        <v>7210.8800000000047</v>
      </c>
      <c r="I29" s="17">
        <v>3.3598333278740782E-2</v>
      </c>
      <c r="J29" s="5"/>
      <c r="K29" s="5"/>
      <c r="L29" s="5"/>
      <c r="M29" s="18"/>
    </row>
    <row r="30" spans="1:13" x14ac:dyDescent="0.2">
      <c r="A30" s="1" t="s">
        <v>43</v>
      </c>
      <c r="B30" s="16"/>
      <c r="C30" s="16">
        <v>0</v>
      </c>
      <c r="D30" s="16">
        <v>0</v>
      </c>
      <c r="E30" s="17">
        <v>0</v>
      </c>
      <c r="F30" s="18">
        <v>0</v>
      </c>
      <c r="G30" s="18">
        <v>0</v>
      </c>
      <c r="H30" s="18">
        <v>0</v>
      </c>
      <c r="I30" s="17">
        <v>0</v>
      </c>
      <c r="J30" s="5"/>
      <c r="K30" s="5"/>
      <c r="L30" s="5"/>
      <c r="M30" s="18"/>
    </row>
    <row r="31" spans="1:13" x14ac:dyDescent="0.2">
      <c r="A31" s="1" t="s">
        <v>23</v>
      </c>
      <c r="B31" s="16">
        <v>10583023.99</v>
      </c>
      <c r="C31" s="16">
        <v>5051231.5999999996</v>
      </c>
      <c r="D31" s="16">
        <v>5531792.3900000006</v>
      </c>
      <c r="E31" s="17">
        <v>1.0951373502652306</v>
      </c>
      <c r="F31" s="18">
        <v>10583023.99</v>
      </c>
      <c r="G31" s="18">
        <v>5051231.5999999996</v>
      </c>
      <c r="H31" s="18">
        <v>5531792.3900000006</v>
      </c>
      <c r="I31" s="17">
        <v>1.0951373502652306</v>
      </c>
      <c r="J31" s="5"/>
      <c r="K31" s="5"/>
      <c r="L31" s="5"/>
      <c r="M31" s="18"/>
    </row>
    <row r="32" spans="1:13" x14ac:dyDescent="0.2">
      <c r="A32" s="1" t="s">
        <v>24</v>
      </c>
      <c r="B32" s="16"/>
      <c r="C32" s="16">
        <v>0</v>
      </c>
      <c r="D32" s="16">
        <v>0</v>
      </c>
      <c r="E32" s="17">
        <v>0</v>
      </c>
      <c r="F32" s="18">
        <v>0</v>
      </c>
      <c r="G32" s="18">
        <v>0</v>
      </c>
      <c r="H32" s="18">
        <v>0</v>
      </c>
      <c r="I32" s="17">
        <v>0</v>
      </c>
      <c r="J32" s="5"/>
      <c r="K32" s="5"/>
      <c r="L32" s="5"/>
      <c r="M32" s="18"/>
    </row>
    <row r="33" spans="1:13" x14ac:dyDescent="0.2">
      <c r="A33" s="1" t="s">
        <v>54</v>
      </c>
      <c r="B33" s="16"/>
      <c r="C33" s="16">
        <v>0</v>
      </c>
      <c r="D33" s="16">
        <v>0</v>
      </c>
      <c r="E33" s="17">
        <v>0</v>
      </c>
      <c r="F33" s="18">
        <v>0</v>
      </c>
      <c r="G33" s="18">
        <v>0</v>
      </c>
      <c r="H33" s="18">
        <v>0</v>
      </c>
      <c r="I33" s="17">
        <v>0</v>
      </c>
      <c r="J33" s="5"/>
      <c r="K33" s="5"/>
      <c r="L33" s="5"/>
      <c r="M33" s="18"/>
    </row>
    <row r="34" spans="1:13" x14ac:dyDescent="0.2">
      <c r="A34" s="1" t="s">
        <v>25</v>
      </c>
      <c r="B34" s="16"/>
      <c r="C34" s="16">
        <v>0</v>
      </c>
      <c r="D34" s="16">
        <v>0</v>
      </c>
      <c r="E34" s="17">
        <v>0</v>
      </c>
      <c r="F34" s="18">
        <v>0</v>
      </c>
      <c r="G34" s="18">
        <v>0</v>
      </c>
      <c r="H34" s="18">
        <v>0</v>
      </c>
      <c r="I34" s="17">
        <v>0</v>
      </c>
      <c r="J34" s="5"/>
      <c r="K34" s="5"/>
      <c r="L34" s="5"/>
      <c r="M34" s="18"/>
    </row>
    <row r="35" spans="1:13" x14ac:dyDescent="0.2">
      <c r="A35" s="1" t="s">
        <v>26</v>
      </c>
      <c r="B35" s="23" t="s">
        <v>44</v>
      </c>
      <c r="C35" s="23" t="s">
        <v>44</v>
      </c>
      <c r="D35" s="23" t="s">
        <v>45</v>
      </c>
      <c r="E35" s="23" t="s">
        <v>46</v>
      </c>
      <c r="F35" s="23" t="s">
        <v>47</v>
      </c>
      <c r="G35" s="24" t="s">
        <v>48</v>
      </c>
      <c r="H35" s="23" t="s">
        <v>49</v>
      </c>
      <c r="I35" s="23" t="s">
        <v>50</v>
      </c>
      <c r="J35" s="5"/>
      <c r="K35" s="5"/>
      <c r="L35" s="5"/>
      <c r="M35" s="18"/>
    </row>
    <row r="36" spans="1:13" x14ac:dyDescent="0.2">
      <c r="A36" s="1" t="s">
        <v>27</v>
      </c>
      <c r="B36" s="16">
        <v>2760847.0900000003</v>
      </c>
      <c r="C36" s="16">
        <v>2608762.3199999998</v>
      </c>
      <c r="D36" s="16">
        <v>152084.77000000048</v>
      </c>
      <c r="E36" s="17">
        <v>5.8297671978028452E-2</v>
      </c>
      <c r="F36" s="18">
        <v>2760847.0900000003</v>
      </c>
      <c r="G36" s="18">
        <v>2608762.3199999998</v>
      </c>
      <c r="H36" s="18">
        <v>152084.77000000048</v>
      </c>
      <c r="I36" s="17">
        <v>5.8297671978028452E-2</v>
      </c>
      <c r="J36" s="5"/>
      <c r="K36" s="5"/>
      <c r="L36" s="5"/>
      <c r="M36" s="18"/>
    </row>
    <row r="37" spans="1:13" x14ac:dyDescent="0.2">
      <c r="A37" s="1" t="s">
        <v>28</v>
      </c>
      <c r="B37" s="16">
        <v>18654746.880000003</v>
      </c>
      <c r="C37" s="16">
        <v>18558131.390000001</v>
      </c>
      <c r="D37" s="16">
        <v>96615.490000002086</v>
      </c>
      <c r="E37" s="17">
        <v>5.2061001169580621E-3</v>
      </c>
      <c r="F37" s="18">
        <v>18654746.880000003</v>
      </c>
      <c r="G37" s="18">
        <v>18558131.390000001</v>
      </c>
      <c r="H37" s="18">
        <v>96615.490000002086</v>
      </c>
      <c r="I37" s="17">
        <v>5.2061001169580621E-3</v>
      </c>
      <c r="J37" s="5"/>
      <c r="K37" s="5"/>
      <c r="L37" s="5"/>
      <c r="M37" s="18"/>
    </row>
    <row r="38" spans="1:13" x14ac:dyDescent="0.2">
      <c r="A38" s="1" t="s">
        <v>29</v>
      </c>
      <c r="B38" s="16">
        <v>3640199.35</v>
      </c>
      <c r="C38" s="16">
        <v>3370172.19</v>
      </c>
      <c r="D38" s="16">
        <v>270027.16000000015</v>
      </c>
      <c r="E38" s="17">
        <v>8.0122659845460339E-2</v>
      </c>
      <c r="F38" s="18">
        <v>3640199.35</v>
      </c>
      <c r="G38" s="18">
        <v>3370172.19</v>
      </c>
      <c r="H38" s="18">
        <v>270027.16000000015</v>
      </c>
      <c r="I38" s="17">
        <v>8.0122659845460339E-2</v>
      </c>
      <c r="J38" s="5"/>
      <c r="K38" s="5"/>
      <c r="L38" s="5"/>
      <c r="M38" s="18"/>
    </row>
    <row r="39" spans="1:13" x14ac:dyDescent="0.2">
      <c r="A39" s="1" t="s">
        <v>30</v>
      </c>
      <c r="B39" s="16">
        <v>4535540.74</v>
      </c>
      <c r="C39" s="16">
        <v>6284271.9199999999</v>
      </c>
      <c r="D39" s="16">
        <v>-1748731.1799999997</v>
      </c>
      <c r="E39" s="17">
        <v>-0.27827108728929728</v>
      </c>
      <c r="F39" s="18">
        <v>4535540.74</v>
      </c>
      <c r="G39" s="18">
        <v>6284271.9199999999</v>
      </c>
      <c r="H39" s="18">
        <v>-1748731.1799999997</v>
      </c>
      <c r="I39" s="17">
        <v>-0.27827108728929728</v>
      </c>
      <c r="J39" s="5"/>
      <c r="K39" s="5"/>
      <c r="L39" s="5"/>
      <c r="M39" s="18"/>
    </row>
    <row r="40" spans="1:13" x14ac:dyDescent="0.2">
      <c r="A40" s="1" t="s">
        <v>51</v>
      </c>
      <c r="B40" s="16">
        <v>6953586.9900000002</v>
      </c>
      <c r="C40" s="16">
        <v>6441200.3700000001</v>
      </c>
      <c r="D40" s="16">
        <v>512386.62000000011</v>
      </c>
      <c r="E40" s="17">
        <v>7.9548312514302374E-2</v>
      </c>
      <c r="F40" s="18">
        <v>6953586.9900000002</v>
      </c>
      <c r="G40" s="18">
        <v>6441200.3700000001</v>
      </c>
      <c r="H40" s="18">
        <v>512386.62000000011</v>
      </c>
      <c r="I40" s="17">
        <v>7.9548312514302374E-2</v>
      </c>
      <c r="J40" s="5"/>
      <c r="K40" s="5"/>
      <c r="L40" s="5"/>
      <c r="M40" s="18"/>
    </row>
    <row r="41" spans="1:13" x14ac:dyDescent="0.2">
      <c r="A41" s="1" t="s">
        <v>32</v>
      </c>
      <c r="B41" s="16">
        <v>3034643.29</v>
      </c>
      <c r="C41" s="16">
        <v>3619969.44</v>
      </c>
      <c r="D41" s="16">
        <v>-585326.14999999991</v>
      </c>
      <c r="E41" s="17">
        <v>-0.16169367164602361</v>
      </c>
      <c r="F41" s="18">
        <v>3034643.29</v>
      </c>
      <c r="G41" s="18">
        <v>3619969.44</v>
      </c>
      <c r="H41" s="18">
        <v>-585326.14999999991</v>
      </c>
      <c r="I41" s="17">
        <v>-0.16169367164602361</v>
      </c>
      <c r="J41" s="5"/>
      <c r="K41" s="5"/>
      <c r="L41" s="5"/>
      <c r="M41" s="18"/>
    </row>
    <row r="42" spans="1:13" x14ac:dyDescent="0.2">
      <c r="A42" s="5"/>
      <c r="B42" s="16"/>
      <c r="C42" s="16"/>
      <c r="D42" s="16"/>
      <c r="E42" s="17"/>
      <c r="F42" s="18"/>
      <c r="G42" s="18"/>
      <c r="H42" s="18"/>
      <c r="I42" s="17"/>
      <c r="J42" s="5"/>
      <c r="K42" s="5"/>
      <c r="L42" s="5"/>
      <c r="M42" s="18"/>
    </row>
    <row r="43" spans="1:13" x14ac:dyDescent="0.2">
      <c r="A43" s="1" t="s">
        <v>33</v>
      </c>
      <c r="B43" s="12" t="s">
        <v>5</v>
      </c>
      <c r="C43" s="12" t="s">
        <v>5</v>
      </c>
      <c r="D43" s="12" t="s">
        <v>5</v>
      </c>
      <c r="E43" s="13" t="s">
        <v>5</v>
      </c>
      <c r="F43" s="13" t="s">
        <v>5</v>
      </c>
      <c r="G43" s="13" t="s">
        <v>5</v>
      </c>
      <c r="H43" s="13" t="s">
        <v>5</v>
      </c>
      <c r="I43" s="13" t="s">
        <v>5</v>
      </c>
      <c r="J43" s="5"/>
      <c r="K43" s="5"/>
      <c r="L43" s="5"/>
      <c r="M43" s="5"/>
    </row>
    <row r="44" spans="1:13" x14ac:dyDescent="0.2">
      <c r="A44" s="5"/>
      <c r="B44" s="16">
        <v>67824314.270000011</v>
      </c>
      <c r="C44" s="16">
        <v>68979430.320000008</v>
      </c>
      <c r="D44" s="16">
        <v>-1155116.0499999966</v>
      </c>
      <c r="E44" s="17">
        <v>-1.6745804432442238E-2</v>
      </c>
      <c r="F44" s="16">
        <v>67824314.270000011</v>
      </c>
      <c r="G44" s="16">
        <v>68979430.320000008</v>
      </c>
      <c r="H44" s="16">
        <v>-1155116.0499999966</v>
      </c>
      <c r="I44" s="17">
        <v>-1.6745804432442238E-2</v>
      </c>
      <c r="J44" s="5"/>
      <c r="K44" s="5"/>
      <c r="L44" s="5"/>
      <c r="M44" s="18"/>
    </row>
    <row r="45" spans="1:13" x14ac:dyDescent="0.2">
      <c r="A45" s="25" t="s">
        <v>34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18"/>
    </row>
    <row r="47" spans="1:13" x14ac:dyDescent="0.2">
      <c r="A47" s="4"/>
    </row>
    <row r="48" spans="1:13" ht="18.75" customHeight="1" x14ac:dyDescent="0.2">
      <c r="A48" s="26"/>
      <c r="B48" s="16"/>
      <c r="C48" s="16"/>
      <c r="D48" s="16"/>
      <c r="E48" s="5"/>
      <c r="F48" s="18"/>
      <c r="G48" s="18"/>
      <c r="H48" s="18"/>
      <c r="I48" s="5"/>
      <c r="J48" s="5"/>
      <c r="K48" s="5"/>
      <c r="L48" s="5"/>
      <c r="M48" s="14"/>
    </row>
    <row r="49" spans="1:13" x14ac:dyDescent="0.2">
      <c r="A49" s="26"/>
      <c r="B49" s="5"/>
      <c r="C49" s="16"/>
      <c r="D49" s="5"/>
      <c r="E49" s="5"/>
      <c r="F49" s="5"/>
      <c r="G49" s="5"/>
      <c r="H49" s="5"/>
      <c r="I49" s="5"/>
      <c r="J49" s="5"/>
      <c r="K49" s="5"/>
      <c r="L49" s="5"/>
      <c r="M49" s="5"/>
    </row>
    <row r="53" spans="1:13" x14ac:dyDescent="0.2">
      <c r="B53" s="16"/>
      <c r="C53" s="16"/>
      <c r="D53" s="16"/>
      <c r="E53" s="5"/>
      <c r="F53" s="18"/>
      <c r="G53" s="18"/>
      <c r="H53" s="18"/>
      <c r="I53" s="5"/>
      <c r="J53" s="5"/>
      <c r="K53" s="5"/>
      <c r="L53" s="5"/>
      <c r="M53" s="14"/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ECFA-6B96-43D4-94D5-CAF4124D08F7}">
  <sheetPr>
    <pageSetUpPr fitToPage="1"/>
  </sheetPr>
  <dimension ref="A1:N53"/>
  <sheetViews>
    <sheetView zoomScaleNormal="100" workbookViewId="0">
      <selection activeCell="A37" sqref="A37"/>
    </sheetView>
  </sheetViews>
  <sheetFormatPr defaultRowHeight="15" x14ac:dyDescent="0.25"/>
  <cols>
    <col min="1" max="1" width="64" style="45" bestFit="1" customWidth="1"/>
    <col min="2" max="2" width="13.375" style="45" customWidth="1"/>
    <col min="3" max="4" width="12.625" style="45" customWidth="1"/>
    <col min="5" max="5" width="10.375" style="45" bestFit="1" customWidth="1"/>
    <col min="6" max="6" width="13.875" style="45" customWidth="1"/>
    <col min="7" max="7" width="13.75" style="45" customWidth="1"/>
    <col min="8" max="8" width="13.125" style="45" bestFit="1" customWidth="1"/>
    <col min="9" max="9" width="8.875" style="45" customWidth="1"/>
    <col min="10" max="13" width="9" style="45"/>
    <col min="14" max="14" width="13" style="45" bestFit="1" customWidth="1"/>
    <col min="15" max="15" width="14.25" style="45" bestFit="1" customWidth="1"/>
    <col min="16" max="16384" width="9" style="45"/>
  </cols>
  <sheetData>
    <row r="1" spans="1:14" ht="18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27"/>
      <c r="K1" s="5"/>
      <c r="L1" s="5"/>
      <c r="M1" s="5"/>
    </row>
    <row r="2" spans="1:14" x14ac:dyDescent="0.25">
      <c r="A2" s="54" t="s">
        <v>72</v>
      </c>
      <c r="B2" s="54"/>
      <c r="C2" s="54"/>
      <c r="D2" s="54"/>
      <c r="E2" s="54"/>
      <c r="F2" s="54"/>
      <c r="G2" s="54"/>
      <c r="H2" s="54"/>
      <c r="I2" s="54"/>
      <c r="J2" s="6"/>
      <c r="K2" s="5"/>
      <c r="L2" s="5"/>
      <c r="M2" s="5"/>
    </row>
    <row r="3" spans="1:14" x14ac:dyDescent="0.25">
      <c r="A3" s="7"/>
      <c r="B3" s="5"/>
      <c r="C3" s="8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x14ac:dyDescent="0.25">
      <c r="A4" s="7"/>
      <c r="B4" s="5"/>
      <c r="C4" s="5"/>
      <c r="D4" s="9" t="s">
        <v>35</v>
      </c>
      <c r="E4" s="5"/>
      <c r="F4" s="6" t="s">
        <v>36</v>
      </c>
      <c r="G4" s="6" t="s">
        <v>37</v>
      </c>
      <c r="H4" s="10" t="s">
        <v>35</v>
      </c>
      <c r="I4" s="5"/>
      <c r="J4" s="5"/>
      <c r="K4" s="5"/>
      <c r="L4" s="5"/>
      <c r="M4" s="5"/>
    </row>
    <row r="5" spans="1:14" x14ac:dyDescent="0.25">
      <c r="A5" s="5"/>
      <c r="B5" s="11" t="s">
        <v>71</v>
      </c>
      <c r="C5" s="9" t="s">
        <v>55</v>
      </c>
      <c r="D5" s="8" t="s">
        <v>38</v>
      </c>
      <c r="E5" s="6" t="s">
        <v>39</v>
      </c>
      <c r="F5" s="6" t="s">
        <v>40</v>
      </c>
      <c r="G5" s="6" t="s">
        <v>40</v>
      </c>
      <c r="H5" s="6" t="s">
        <v>38</v>
      </c>
      <c r="I5" s="6" t="s">
        <v>39</v>
      </c>
      <c r="J5" s="5"/>
      <c r="K5" s="5"/>
      <c r="L5" s="5"/>
      <c r="M5" s="6"/>
      <c r="N5" s="45">
        <v>584333728.60000002</v>
      </c>
    </row>
    <row r="6" spans="1:14" x14ac:dyDescent="0.25">
      <c r="A6" s="5"/>
      <c r="B6" s="12" t="s">
        <v>5</v>
      </c>
      <c r="C6" s="12" t="s">
        <v>5</v>
      </c>
      <c r="D6" s="12" t="s">
        <v>5</v>
      </c>
      <c r="E6" s="13" t="s">
        <v>5</v>
      </c>
      <c r="F6" s="13" t="s">
        <v>5</v>
      </c>
      <c r="G6" s="13" t="s">
        <v>5</v>
      </c>
      <c r="H6" s="13" t="s">
        <v>5</v>
      </c>
      <c r="I6" s="13" t="s">
        <v>5</v>
      </c>
      <c r="J6" s="5"/>
      <c r="K6" s="5"/>
      <c r="L6" s="5"/>
      <c r="M6" s="6"/>
      <c r="N6" s="45">
        <f>B9+B10+B11+B12</f>
        <v>487509221.70999998</v>
      </c>
    </row>
    <row r="7" spans="1:14" x14ac:dyDescent="0.25">
      <c r="A7" s="2" t="s">
        <v>70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4"/>
      <c r="N7" s="45">
        <f>N5-N6</f>
        <v>96824506.890000045</v>
      </c>
    </row>
    <row r="8" spans="1:14" x14ac:dyDescent="0.25">
      <c r="A8" s="15" t="s">
        <v>41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4" x14ac:dyDescent="0.25">
      <c r="A9" s="46" t="s">
        <v>6</v>
      </c>
      <c r="B9" s="16">
        <v>143848832.50999999</v>
      </c>
      <c r="C9" s="16">
        <f>[1]FY24!D7</f>
        <v>146539561.59</v>
      </c>
      <c r="D9" s="16">
        <f>B9-C9</f>
        <v>-2690729.0800000131</v>
      </c>
      <c r="E9" s="17">
        <f>IF(C9=0,0,D9/C9)</f>
        <v>-1.8361792889270052E-2</v>
      </c>
      <c r="F9" s="18">
        <f>[1]JUL!F9+[1]AUG!B9</f>
        <v>291315838.78999996</v>
      </c>
      <c r="G9" s="18">
        <f>[1]FY24!C7+[1]FY24!D7</f>
        <v>295915725.58000004</v>
      </c>
      <c r="H9" s="18">
        <f>F9-G9</f>
        <v>-4599886.7900000811</v>
      </c>
      <c r="I9" s="17">
        <f>IF(G9=0,0,H9/G9)</f>
        <v>-1.5544583786428456E-2</v>
      </c>
      <c r="J9" s="5"/>
      <c r="K9" s="5"/>
      <c r="L9" s="5"/>
      <c r="M9" s="18"/>
    </row>
    <row r="10" spans="1:14" x14ac:dyDescent="0.25">
      <c r="A10" s="46" t="s">
        <v>7</v>
      </c>
      <c r="B10" s="16">
        <v>184343985.5</v>
      </c>
      <c r="C10" s="16">
        <f>[1]FY24!D8</f>
        <v>187001330.06</v>
      </c>
      <c r="D10" s="16">
        <f t="shared" ref="D10:D13" si="0">B10-C10</f>
        <v>-2657344.5600000024</v>
      </c>
      <c r="E10" s="17">
        <f t="shared" ref="E10:E13" si="1">IF(C10=0,0,D10/C10)</f>
        <v>-1.4210297644125763E-2</v>
      </c>
      <c r="F10" s="18">
        <f>[1]JUL!F10+[1]AUG!B10</f>
        <v>368854752.94</v>
      </c>
      <c r="G10" s="18">
        <f>[1]FY24!C8+[1]FY24!D8</f>
        <v>377400857.81999999</v>
      </c>
      <c r="H10" s="18">
        <f t="shared" ref="H10:H13" si="2">F10-G10</f>
        <v>-8546104.8799999952</v>
      </c>
      <c r="I10" s="17">
        <f t="shared" ref="I10:I13" si="3">IF(G10=0,0,H10/G10)</f>
        <v>-2.2644635545783602E-2</v>
      </c>
      <c r="J10" s="5"/>
      <c r="K10" s="5"/>
      <c r="L10" s="5"/>
      <c r="M10" s="18"/>
    </row>
    <row r="11" spans="1:14" x14ac:dyDescent="0.25">
      <c r="A11" s="46" t="s">
        <v>8</v>
      </c>
      <c r="B11" s="16">
        <v>35408418.899999999</v>
      </c>
      <c r="C11" s="16">
        <f>[1]FY24!D9</f>
        <v>35920058.020000003</v>
      </c>
      <c r="D11" s="16">
        <f t="shared" si="0"/>
        <v>-511639.12000000477</v>
      </c>
      <c r="E11" s="17">
        <f t="shared" si="1"/>
        <v>-1.4243827772080105E-2</v>
      </c>
      <c r="F11" s="18">
        <f>[1]JUL!F11+[1]AUG!B11</f>
        <v>70863311.859999999</v>
      </c>
      <c r="G11" s="18">
        <f>[1]FY24!C9+[1]FY24!D9</f>
        <v>72437974.439999998</v>
      </c>
      <c r="H11" s="18">
        <f t="shared" si="2"/>
        <v>-1574662.5799999982</v>
      </c>
      <c r="I11" s="17">
        <f t="shared" si="3"/>
        <v>-2.1738081333352068E-2</v>
      </c>
      <c r="J11" s="5"/>
      <c r="K11" s="5"/>
      <c r="L11" s="5"/>
      <c r="M11" s="18"/>
    </row>
    <row r="12" spans="1:14" x14ac:dyDescent="0.25">
      <c r="A12" s="46" t="s">
        <v>9</v>
      </c>
      <c r="B12" s="16">
        <v>123907984.8</v>
      </c>
      <c r="C12" s="16">
        <f>[1]FY24!D10</f>
        <v>125695494.8</v>
      </c>
      <c r="D12" s="16">
        <f t="shared" si="0"/>
        <v>-1787510</v>
      </c>
      <c r="E12" s="17">
        <f t="shared" si="1"/>
        <v>-1.4220955196876316E-2</v>
      </c>
      <c r="F12" s="18">
        <f>[1]JUL!F12+[1]AUG!B12</f>
        <v>247978504.66</v>
      </c>
      <c r="G12" s="18">
        <f>[1]FY24!C10+[1]FY24!D10</f>
        <v>253475614.28</v>
      </c>
      <c r="H12" s="18">
        <f t="shared" si="2"/>
        <v>-5497109.6200000048</v>
      </c>
      <c r="I12" s="17">
        <f t="shared" si="3"/>
        <v>-2.1686936771470499E-2</v>
      </c>
      <c r="J12" s="5"/>
      <c r="K12" s="5"/>
      <c r="L12" s="5"/>
      <c r="M12" s="18"/>
    </row>
    <row r="13" spans="1:14" x14ac:dyDescent="0.25">
      <c r="A13" s="46" t="s">
        <v>10</v>
      </c>
      <c r="B13" s="16">
        <v>96824506.890000001</v>
      </c>
      <c r="C13" s="16">
        <f>[1]FY24!D11</f>
        <v>98993413.870000005</v>
      </c>
      <c r="D13" s="16">
        <f t="shared" si="0"/>
        <v>-2168906.9800000042</v>
      </c>
      <c r="E13" s="17">
        <f t="shared" si="1"/>
        <v>-2.1909608884165297E-2</v>
      </c>
      <c r="F13" s="18">
        <f>[1]JUL!F13+[1]AUG!B13</f>
        <v>193976847.90000001</v>
      </c>
      <c r="G13" s="18">
        <f>[1]FY24!C11+[1]FY24!D11</f>
        <v>199480953.59</v>
      </c>
      <c r="H13" s="18">
        <f t="shared" si="2"/>
        <v>-5504105.6899999976</v>
      </c>
      <c r="I13" s="17">
        <f t="shared" si="3"/>
        <v>-2.7592136446834788E-2</v>
      </c>
      <c r="J13" s="5"/>
      <c r="K13" s="5"/>
      <c r="L13" s="5"/>
      <c r="M13" s="18"/>
    </row>
    <row r="14" spans="1:14" x14ac:dyDescent="0.25">
      <c r="A14" s="5"/>
      <c r="B14" s="12" t="s">
        <v>5</v>
      </c>
      <c r="C14" s="12" t="s">
        <v>5</v>
      </c>
      <c r="D14" s="12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5"/>
      <c r="K14" s="5"/>
      <c r="L14" s="5"/>
      <c r="M14" s="18"/>
    </row>
    <row r="15" spans="1:14" x14ac:dyDescent="0.25">
      <c r="A15" s="1" t="s">
        <v>11</v>
      </c>
      <c r="B15" s="16">
        <f>SUM(B9:B13)</f>
        <v>584333728.60000002</v>
      </c>
      <c r="C15" s="19">
        <f>SUM(C9:C13)</f>
        <v>594149858.33999991</v>
      </c>
      <c r="D15" s="19">
        <f>SUM(D9:D13)</f>
        <v>-9816129.7400000244</v>
      </c>
      <c r="E15" s="20">
        <f>D15/C15</f>
        <v>-1.6521302836670512E-2</v>
      </c>
      <c r="F15" s="21">
        <f>SUM(F9:F13)</f>
        <v>1172989256.1500001</v>
      </c>
      <c r="G15" s="21">
        <f>SUM(G9:G13)</f>
        <v>1198711125.71</v>
      </c>
      <c r="H15" s="21">
        <f>SUM(H9:H13)</f>
        <v>-25721869.560000077</v>
      </c>
      <c r="I15" s="20">
        <f>H15/G15</f>
        <v>-2.1457938454325216E-2</v>
      </c>
      <c r="J15" s="1"/>
      <c r="K15" s="5"/>
      <c r="L15" s="5"/>
      <c r="M15" s="5"/>
    </row>
    <row r="16" spans="1:14" x14ac:dyDescent="0.25">
      <c r="A16" s="5"/>
      <c r="B16" s="16"/>
      <c r="C16" s="16"/>
      <c r="D16" s="5"/>
      <c r="E16" s="17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1" t="s">
        <v>12</v>
      </c>
      <c r="B17" s="16">
        <v>0</v>
      </c>
      <c r="C17" s="16">
        <v>0</v>
      </c>
      <c r="D17" s="16">
        <f>B17-C17</f>
        <v>0</v>
      </c>
      <c r="E17" s="17">
        <f t="shared" ref="E17:E18" si="4">IF(C17=0,0,D17/C17)</f>
        <v>0</v>
      </c>
      <c r="F17" s="18">
        <f>B17+M17</f>
        <v>0</v>
      </c>
      <c r="G17" s="18">
        <v>0</v>
      </c>
      <c r="H17" s="18">
        <f>F17-G17</f>
        <v>0</v>
      </c>
      <c r="I17" s="17">
        <f t="shared" ref="I17:I18" si="5">IF(G17=0,0,H17/G17)</f>
        <v>0</v>
      </c>
      <c r="J17" s="5"/>
      <c r="K17" s="5"/>
      <c r="L17" s="5"/>
      <c r="M17" s="18"/>
    </row>
    <row r="18" spans="1:13" x14ac:dyDescent="0.25">
      <c r="A18" s="1" t="s">
        <v>13</v>
      </c>
      <c r="B18" s="16">
        <v>0</v>
      </c>
      <c r="C18" s="16">
        <v>0</v>
      </c>
      <c r="D18" s="16">
        <f>B18-C18</f>
        <v>0</v>
      </c>
      <c r="E18" s="17">
        <f t="shared" si="4"/>
        <v>0</v>
      </c>
      <c r="F18" s="18">
        <f>B18+M18</f>
        <v>0</v>
      </c>
      <c r="G18" s="18">
        <v>0</v>
      </c>
      <c r="H18" s="18">
        <f>F18-G18</f>
        <v>0</v>
      </c>
      <c r="I18" s="17">
        <f t="shared" si="5"/>
        <v>0</v>
      </c>
      <c r="J18" s="5"/>
      <c r="K18" s="5"/>
      <c r="L18" s="5"/>
      <c r="M18" s="18"/>
    </row>
    <row r="19" spans="1:13" x14ac:dyDescent="0.25">
      <c r="A19" s="5"/>
      <c r="B19" s="12" t="s">
        <v>5</v>
      </c>
      <c r="C19" s="12" t="s">
        <v>5</v>
      </c>
      <c r="D19" s="12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5"/>
      <c r="K19" s="5"/>
      <c r="L19" s="5"/>
      <c r="M19" s="18"/>
    </row>
    <row r="20" spans="1:13" x14ac:dyDescent="0.25">
      <c r="A20" s="1" t="s">
        <v>14</v>
      </c>
      <c r="B20" s="16">
        <f>SUM(B15:B18)</f>
        <v>584333728.60000002</v>
      </c>
      <c r="C20" s="16">
        <f t="shared" ref="C20:H20" si="6">SUM(C15:C18)</f>
        <v>594149858.33999991</v>
      </c>
      <c r="D20" s="16">
        <f t="shared" si="6"/>
        <v>-9816129.7400000244</v>
      </c>
      <c r="E20" s="17">
        <f>D20/C20</f>
        <v>-1.6521302836670512E-2</v>
      </c>
      <c r="F20" s="16">
        <f t="shared" si="6"/>
        <v>1172989256.1500001</v>
      </c>
      <c r="G20" s="16">
        <f t="shared" si="6"/>
        <v>1198711125.71</v>
      </c>
      <c r="H20" s="16">
        <f t="shared" si="6"/>
        <v>-25721869.560000077</v>
      </c>
      <c r="I20" s="17">
        <f>H20/G20</f>
        <v>-2.1457938454325216E-2</v>
      </c>
      <c r="J20" s="5"/>
      <c r="K20" s="5"/>
      <c r="L20" s="5"/>
      <c r="M20" s="18"/>
    </row>
    <row r="21" spans="1:13" x14ac:dyDescent="0.25">
      <c r="A21" s="1"/>
      <c r="B21" s="16"/>
      <c r="C21" s="16"/>
      <c r="D21" s="16"/>
      <c r="E21" s="17"/>
      <c r="F21" s="18"/>
      <c r="G21" s="18"/>
      <c r="H21" s="18"/>
      <c r="I21" s="17"/>
      <c r="J21" s="5"/>
      <c r="K21" s="5"/>
      <c r="L21" s="5"/>
      <c r="M21" s="18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18"/>
    </row>
    <row r="23" spans="1:13" x14ac:dyDescent="0.25">
      <c r="A23" s="2" t="s">
        <v>69</v>
      </c>
      <c r="B23" s="16"/>
      <c r="C23" s="16"/>
      <c r="D23" s="16"/>
      <c r="E23" s="17"/>
      <c r="F23" s="18"/>
      <c r="G23" s="18"/>
      <c r="H23" s="18"/>
      <c r="I23" s="17"/>
      <c r="J23" s="5"/>
      <c r="K23" s="5"/>
      <c r="L23" s="5"/>
      <c r="M23" s="18"/>
    </row>
    <row r="24" spans="1:13" x14ac:dyDescent="0.25">
      <c r="A24" s="22" t="s">
        <v>42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8"/>
    </row>
    <row r="25" spans="1:13" x14ac:dyDescent="0.25">
      <c r="A25" s="1" t="s">
        <v>17</v>
      </c>
      <c r="B25" s="16">
        <f>10719135</f>
        <v>10719135</v>
      </c>
      <c r="C25" s="16">
        <f>[1]FY24!D22</f>
        <v>10618138.119999999</v>
      </c>
      <c r="D25" s="16">
        <f>B25-C25</f>
        <v>100996.88000000082</v>
      </c>
      <c r="E25" s="17">
        <f t="shared" ref="E25:E38" si="7">IF(C25=0,0,D25/C25)</f>
        <v>9.5117316104380099E-3</v>
      </c>
      <c r="F25" s="18">
        <f>[1]JUL!B25+[1]AUG!B25</f>
        <v>21286126.380000003</v>
      </c>
      <c r="G25" s="18">
        <f>[1]FY24!C22+[1]FY24!D22</f>
        <v>24363139.5</v>
      </c>
      <c r="H25" s="18">
        <f>F25-G25</f>
        <v>-3077013.1199999973</v>
      </c>
      <c r="I25" s="17">
        <f>H25/G25</f>
        <v>-0.1262978903026844</v>
      </c>
      <c r="J25" s="5"/>
      <c r="K25" s="5"/>
      <c r="L25" s="5"/>
      <c r="M25" s="18"/>
    </row>
    <row r="26" spans="1:13" x14ac:dyDescent="0.25">
      <c r="A26" s="1" t="s">
        <v>18</v>
      </c>
      <c r="B26" s="16">
        <f>2642629.62-30.93</f>
        <v>2642598.69</v>
      </c>
      <c r="C26" s="16">
        <f>[1]FY24!D23</f>
        <v>2992839.99</v>
      </c>
      <c r="D26" s="16">
        <f t="shared" ref="D26:D34" si="8">B26-C26</f>
        <v>-350241.30000000028</v>
      </c>
      <c r="E26" s="17">
        <f t="shared" si="7"/>
        <v>-0.1170264034062176</v>
      </c>
      <c r="F26" s="18">
        <f>[1]JUL!B26+[1]AUG!B26</f>
        <v>5615901.3200000003</v>
      </c>
      <c r="G26" s="18">
        <f>[1]FY24!C23+[1]FY24!D23</f>
        <v>5561646.0099999998</v>
      </c>
      <c r="H26" s="18">
        <f t="shared" ref="H26:H34" si="9">F26-G26</f>
        <v>54255.310000000522</v>
      </c>
      <c r="I26" s="17">
        <f t="shared" ref="I26:I38" si="10">IF(G26=0,0,H26/G26)</f>
        <v>9.755261284599543E-3</v>
      </c>
      <c r="J26" s="5"/>
      <c r="K26" s="5"/>
      <c r="L26" s="5"/>
      <c r="M26" s="18"/>
    </row>
    <row r="27" spans="1:13" x14ac:dyDescent="0.25">
      <c r="A27" s="1" t="s">
        <v>19</v>
      </c>
      <c r="B27" s="16">
        <v>4502829.78</v>
      </c>
      <c r="C27" s="16">
        <f>[1]FY24!D24</f>
        <v>4510776.79</v>
      </c>
      <c r="D27" s="16">
        <f t="shared" si="8"/>
        <v>-7947.0099999997765</v>
      </c>
      <c r="E27" s="17">
        <f t="shared" si="7"/>
        <v>-1.761783029835927E-3</v>
      </c>
      <c r="F27" s="18">
        <f>[1]JUL!B27+[1]AUG!B27</f>
        <v>8402430.6600000001</v>
      </c>
      <c r="G27" s="18">
        <f>[1]FY24!C24+[1]FY24!D24</f>
        <v>11028040.310000001</v>
      </c>
      <c r="H27" s="18">
        <f t="shared" si="9"/>
        <v>-2625609.6500000004</v>
      </c>
      <c r="I27" s="17">
        <f t="shared" si="10"/>
        <v>-0.23808487965165956</v>
      </c>
      <c r="J27" s="5"/>
      <c r="K27" s="5"/>
      <c r="L27" s="5"/>
      <c r="M27" s="18"/>
    </row>
    <row r="28" spans="1:13" x14ac:dyDescent="0.25">
      <c r="A28" s="1" t="s">
        <v>20</v>
      </c>
      <c r="B28" s="16"/>
      <c r="C28" s="16">
        <f>[1]FY24!D25</f>
        <v>0</v>
      </c>
      <c r="D28" s="16">
        <f t="shared" si="8"/>
        <v>0</v>
      </c>
      <c r="E28" s="17">
        <f t="shared" si="7"/>
        <v>0</v>
      </c>
      <c r="F28" s="18">
        <f>[1]JUL!B28+[1]AUG!B28</f>
        <v>0</v>
      </c>
      <c r="G28" s="18">
        <f>[1]FY24!C25+[1]FY24!D25</f>
        <v>0</v>
      </c>
      <c r="H28" s="18">
        <f t="shared" si="9"/>
        <v>0</v>
      </c>
      <c r="I28" s="17">
        <f t="shared" si="10"/>
        <v>0</v>
      </c>
      <c r="J28" s="5"/>
      <c r="K28" s="5"/>
      <c r="L28" s="5"/>
      <c r="M28" s="18"/>
    </row>
    <row r="29" spans="1:13" x14ac:dyDescent="0.25">
      <c r="A29" s="1" t="s">
        <v>21</v>
      </c>
      <c r="B29" s="16">
        <f>216122.1</f>
        <v>216122.1</v>
      </c>
      <c r="C29" s="16">
        <f>[1]FY24!D26</f>
        <v>204097.17</v>
      </c>
      <c r="D29" s="16">
        <f t="shared" si="8"/>
        <v>12024.929999999993</v>
      </c>
      <c r="E29" s="17">
        <f t="shared" si="7"/>
        <v>5.891767142092167E-2</v>
      </c>
      <c r="F29" s="18">
        <f>[1]JUL!B29+[1]AUG!B29</f>
        <v>437953.15</v>
      </c>
      <c r="G29" s="18">
        <f>[1]FY24!C26+[1]FY24!D26</f>
        <v>418717.34</v>
      </c>
      <c r="H29" s="18">
        <f t="shared" si="9"/>
        <v>19235.809999999998</v>
      </c>
      <c r="I29" s="17">
        <f t="shared" si="10"/>
        <v>4.5939845720265604E-2</v>
      </c>
      <c r="J29" s="5"/>
      <c r="K29" s="5"/>
      <c r="L29" s="5"/>
      <c r="M29" s="18"/>
    </row>
    <row r="30" spans="1:13" x14ac:dyDescent="0.25">
      <c r="A30" s="1" t="s">
        <v>43</v>
      </c>
      <c r="B30" s="16"/>
      <c r="C30" s="16">
        <f>[1]FY24!D27</f>
        <v>0</v>
      </c>
      <c r="D30" s="16">
        <f t="shared" si="8"/>
        <v>0</v>
      </c>
      <c r="E30" s="17">
        <f t="shared" si="7"/>
        <v>0</v>
      </c>
      <c r="F30" s="18">
        <f>[1]JUL!B30+[1]AUG!B30</f>
        <v>0</v>
      </c>
      <c r="G30" s="18">
        <f>[1]FY24!C27+[1]FY24!D27</f>
        <v>0</v>
      </c>
      <c r="H30" s="18">
        <f t="shared" si="9"/>
        <v>0</v>
      </c>
      <c r="I30" s="17">
        <f t="shared" si="10"/>
        <v>0</v>
      </c>
      <c r="J30" s="5"/>
      <c r="K30" s="5"/>
      <c r="L30" s="5"/>
      <c r="M30" s="18"/>
    </row>
    <row r="31" spans="1:13" x14ac:dyDescent="0.25">
      <c r="A31" s="1" t="s">
        <v>23</v>
      </c>
      <c r="B31" s="16">
        <f>6540177.8</f>
        <v>6540177.7999999998</v>
      </c>
      <c r="C31" s="16">
        <f>[1]FY24!D28</f>
        <v>8457076.5500000007</v>
      </c>
      <c r="D31" s="16">
        <f t="shared" si="8"/>
        <v>-1916898.7500000009</v>
      </c>
      <c r="E31" s="17">
        <f t="shared" si="7"/>
        <v>-0.22666210228403347</v>
      </c>
      <c r="F31" s="18">
        <f>[1]JUL!B31+[1]AUG!B31</f>
        <v>16973201.789999999</v>
      </c>
      <c r="G31" s="18">
        <f>[1]FY24!C28+[1]FY24!D28</f>
        <v>13508308.15</v>
      </c>
      <c r="H31" s="18">
        <f t="shared" si="9"/>
        <v>3464893.6399999987</v>
      </c>
      <c r="I31" s="17">
        <f t="shared" si="10"/>
        <v>0.25650093272413232</v>
      </c>
      <c r="J31" s="5"/>
      <c r="K31" s="5"/>
      <c r="L31" s="5"/>
      <c r="M31" s="18"/>
    </row>
    <row r="32" spans="1:13" x14ac:dyDescent="0.25">
      <c r="A32" s="1" t="s">
        <v>24</v>
      </c>
      <c r="B32" s="16">
        <v>0</v>
      </c>
      <c r="C32" s="16">
        <f>[1]FY24!D29</f>
        <v>0</v>
      </c>
      <c r="D32" s="16">
        <f t="shared" si="8"/>
        <v>0</v>
      </c>
      <c r="E32" s="17">
        <f t="shared" si="7"/>
        <v>0</v>
      </c>
      <c r="F32" s="18">
        <f>[1]JUL!B32+[1]AUG!B32</f>
        <v>0</v>
      </c>
      <c r="G32" s="18">
        <f>[1]FY24!C29+[1]FY24!D29</f>
        <v>0</v>
      </c>
      <c r="H32" s="18">
        <f t="shared" si="9"/>
        <v>0</v>
      </c>
      <c r="I32" s="17">
        <f t="shared" si="10"/>
        <v>0</v>
      </c>
      <c r="J32" s="5"/>
      <c r="K32" s="5"/>
      <c r="L32" s="5"/>
      <c r="M32" s="18"/>
    </row>
    <row r="33" spans="1:13" x14ac:dyDescent="0.25">
      <c r="A33" s="1" t="s">
        <v>54</v>
      </c>
      <c r="B33" s="16">
        <v>0</v>
      </c>
      <c r="C33" s="16">
        <f>[1]FY24!D30</f>
        <v>0</v>
      </c>
      <c r="D33" s="16">
        <f t="shared" si="8"/>
        <v>0</v>
      </c>
      <c r="E33" s="17">
        <f t="shared" si="7"/>
        <v>0</v>
      </c>
      <c r="F33" s="18">
        <f>[1]JUL!B33+[1]AUG!B33</f>
        <v>0</v>
      </c>
      <c r="G33" s="18">
        <f>[1]FY24!C30+[1]FY24!D30</f>
        <v>0</v>
      </c>
      <c r="H33" s="18">
        <f t="shared" si="9"/>
        <v>0</v>
      </c>
      <c r="I33" s="17">
        <f t="shared" si="10"/>
        <v>0</v>
      </c>
      <c r="J33" s="5"/>
      <c r="K33" s="5"/>
      <c r="L33" s="5"/>
      <c r="M33" s="18"/>
    </row>
    <row r="34" spans="1:13" x14ac:dyDescent="0.25">
      <c r="A34" s="1" t="s">
        <v>25</v>
      </c>
      <c r="B34" s="16">
        <v>0</v>
      </c>
      <c r="C34" s="16">
        <f>[1]FY24!D31</f>
        <v>0</v>
      </c>
      <c r="D34" s="16">
        <f t="shared" si="8"/>
        <v>0</v>
      </c>
      <c r="E34" s="17">
        <f t="shared" si="7"/>
        <v>0</v>
      </c>
      <c r="F34" s="18">
        <f>[1]JUL!B34+[1]AUG!B34</f>
        <v>0</v>
      </c>
      <c r="G34" s="18">
        <f>[1]FY24!C31+[1]FY24!D31</f>
        <v>0</v>
      </c>
      <c r="H34" s="18">
        <f t="shared" si="9"/>
        <v>0</v>
      </c>
      <c r="I34" s="17">
        <f t="shared" si="10"/>
        <v>0</v>
      </c>
      <c r="J34" s="5"/>
      <c r="K34" s="5"/>
      <c r="L34" s="5"/>
      <c r="M34" s="18"/>
    </row>
    <row r="35" spans="1:13" x14ac:dyDescent="0.25">
      <c r="A35" s="1" t="s">
        <v>26</v>
      </c>
      <c r="B35" s="23" t="s">
        <v>44</v>
      </c>
      <c r="C35" s="23" t="s">
        <v>44</v>
      </c>
      <c r="D35" s="23" t="s">
        <v>45</v>
      </c>
      <c r="E35" s="23" t="s">
        <v>46</v>
      </c>
      <c r="F35" s="23" t="s">
        <v>47</v>
      </c>
      <c r="G35" s="24" t="s">
        <v>48</v>
      </c>
      <c r="H35" s="23" t="s">
        <v>49</v>
      </c>
      <c r="I35" s="23" t="s">
        <v>50</v>
      </c>
      <c r="J35" s="5"/>
      <c r="K35" s="5"/>
      <c r="L35" s="5"/>
      <c r="M35" s="18"/>
    </row>
    <row r="36" spans="1:13" x14ac:dyDescent="0.25">
      <c r="A36" s="1" t="s">
        <v>27</v>
      </c>
      <c r="B36" s="16">
        <f>148232.81+219485.84+1459480.19+1996262.07</f>
        <v>3823460.91</v>
      </c>
      <c r="C36" s="16">
        <f>[1]FY24!D33</f>
        <v>2245401.13</v>
      </c>
      <c r="D36" s="16">
        <f>B36-C36</f>
        <v>1578059.7800000003</v>
      </c>
      <c r="E36" s="17">
        <f t="shared" si="7"/>
        <v>0.70279637741163881</v>
      </c>
      <c r="F36" s="18">
        <f>[1]JUL!B36+[1]AUG!B36</f>
        <v>5284308</v>
      </c>
      <c r="G36" s="18">
        <f>[1]FY24!C33+[1]FY24!D33</f>
        <v>4854163.4499999993</v>
      </c>
      <c r="H36" s="18">
        <f>F36-G36</f>
        <v>430144.55000000075</v>
      </c>
      <c r="I36" s="17">
        <f t="shared" si="10"/>
        <v>8.8613528248621468E-2</v>
      </c>
      <c r="J36" s="5"/>
      <c r="K36" s="5"/>
      <c r="L36" s="5"/>
      <c r="M36" s="18"/>
    </row>
    <row r="37" spans="1:13" x14ac:dyDescent="0.25">
      <c r="A37" s="1" t="s">
        <v>28</v>
      </c>
      <c r="B37" s="16">
        <f>967804.38+326891.95+477372.39+15970086.37</f>
        <v>17742155.09</v>
      </c>
      <c r="C37" s="16">
        <f>[1]FY24!D34</f>
        <v>15700224.120000001</v>
      </c>
      <c r="D37" s="16">
        <f>B37-C37</f>
        <v>2041930.9699999988</v>
      </c>
      <c r="E37" s="17">
        <f t="shared" si="7"/>
        <v>0.13005744086155113</v>
      </c>
      <c r="F37" s="18">
        <f>[1]JUL!B37+[1]AUG!B37</f>
        <v>36396901.969999999</v>
      </c>
      <c r="G37" s="18">
        <f>[1]FY24!C34+[1]FY24!D34</f>
        <v>34258355.510000005</v>
      </c>
      <c r="H37" s="18">
        <f>F37-G37</f>
        <v>2138546.4599999934</v>
      </c>
      <c r="I37" s="17">
        <f t="shared" si="10"/>
        <v>6.2424083939923859E-2</v>
      </c>
      <c r="J37" s="5"/>
      <c r="K37" s="5"/>
      <c r="L37" s="5"/>
      <c r="M37" s="18"/>
    </row>
    <row r="38" spans="1:13" x14ac:dyDescent="0.25">
      <c r="A38" s="1" t="s">
        <v>29</v>
      </c>
      <c r="B38" s="16">
        <v>3769386.09</v>
      </c>
      <c r="C38" s="16">
        <f>[1]FY24!D35</f>
        <v>3307965.51</v>
      </c>
      <c r="D38" s="16">
        <f>B38-C38</f>
        <v>461420.58000000007</v>
      </c>
      <c r="E38" s="17">
        <f t="shared" si="7"/>
        <v>0.13948772398174131</v>
      </c>
      <c r="F38" s="18">
        <f>[1]JUL!B38+[1]AUG!B38</f>
        <v>7409585.4399999995</v>
      </c>
      <c r="G38" s="18">
        <f>[1]FY24!C35+[1]FY24!D35</f>
        <v>6678137.6999999993</v>
      </c>
      <c r="H38" s="18">
        <f>F38-G38</f>
        <v>731447.74000000022</v>
      </c>
      <c r="I38" s="17">
        <f t="shared" si="10"/>
        <v>0.10952869989488241</v>
      </c>
      <c r="J38" s="5"/>
      <c r="K38" s="5"/>
      <c r="L38" s="5"/>
      <c r="M38" s="18"/>
    </row>
    <row r="39" spans="1:13" x14ac:dyDescent="0.25">
      <c r="A39" s="1" t="s">
        <v>30</v>
      </c>
      <c r="B39" s="16">
        <v>7494698.0800000001</v>
      </c>
      <c r="C39" s="16">
        <f>[1]FY24!D36</f>
        <v>5031991.6500000004</v>
      </c>
      <c r="D39" s="16">
        <f>B39-C39</f>
        <v>2462706.4299999997</v>
      </c>
      <c r="E39" s="17">
        <f>D39/C39</f>
        <v>0.489409880081975</v>
      </c>
      <c r="F39" s="18">
        <f>[1]JUL!B39+[1]AUG!B39</f>
        <v>12030238.82</v>
      </c>
      <c r="G39" s="18">
        <f>[1]FY24!C36+[1]FY24!D36</f>
        <v>11316263.57</v>
      </c>
      <c r="H39" s="18">
        <f>F39-G39</f>
        <v>713975.25</v>
      </c>
      <c r="I39" s="17">
        <f>H39/G39</f>
        <v>6.3092843815761357E-2</v>
      </c>
      <c r="J39" s="5"/>
      <c r="K39" s="5"/>
      <c r="L39" s="5"/>
      <c r="M39" s="18"/>
    </row>
    <row r="40" spans="1:13" x14ac:dyDescent="0.25">
      <c r="A40" s="1" t="s">
        <v>51</v>
      </c>
      <c r="B40" s="16">
        <v>5355536.3899999997</v>
      </c>
      <c r="C40" s="16">
        <f>[1]FY24!D37</f>
        <v>6501253.9299999997</v>
      </c>
      <c r="D40" s="16">
        <f t="shared" ref="D40:D41" si="11">B40-C40</f>
        <v>-1145717.54</v>
      </c>
      <c r="E40" s="17">
        <f t="shared" ref="E40:E41" si="12">D40/C40</f>
        <v>-0.17623023994080478</v>
      </c>
      <c r="F40" s="18">
        <f>[1]JUL!B40+[1]AUG!B40</f>
        <v>12309123.379999999</v>
      </c>
      <c r="G40" s="18">
        <f>[1]FY24!C37+[1]FY24!D37</f>
        <v>12942454.300000001</v>
      </c>
      <c r="H40" s="18">
        <f t="shared" ref="H40:H41" si="13">F40-G40</f>
        <v>-633330.92000000179</v>
      </c>
      <c r="I40" s="17">
        <f t="shared" ref="I40:I41" si="14">H40/G40</f>
        <v>-4.8934375607569407E-2</v>
      </c>
      <c r="J40" s="5"/>
      <c r="K40" s="5"/>
      <c r="L40" s="5"/>
      <c r="M40" s="18"/>
    </row>
    <row r="41" spans="1:13" x14ac:dyDescent="0.25">
      <c r="A41" s="1" t="s">
        <v>32</v>
      </c>
      <c r="B41" s="16">
        <v>2533902.13</v>
      </c>
      <c r="C41" s="16">
        <f>[1]FY24!D38</f>
        <v>4093722.91</v>
      </c>
      <c r="D41" s="16">
        <f t="shared" si="11"/>
        <v>-1559820.7800000003</v>
      </c>
      <c r="E41" s="17">
        <f t="shared" si="12"/>
        <v>-0.38102744477153688</v>
      </c>
      <c r="F41" s="18">
        <f>[1]JUL!B41+[1]AUG!B41</f>
        <v>5568545.4199999999</v>
      </c>
      <c r="G41" s="18">
        <f>[1]FY24!C38+[1]FY24!D38</f>
        <v>7713692.3499999996</v>
      </c>
      <c r="H41" s="18">
        <f t="shared" si="13"/>
        <v>-2145146.9299999997</v>
      </c>
      <c r="I41" s="17">
        <f t="shared" si="14"/>
        <v>-0.27809599251129064</v>
      </c>
      <c r="J41" s="5"/>
      <c r="K41" s="5"/>
      <c r="L41" s="5"/>
      <c r="M41" s="18"/>
    </row>
    <row r="42" spans="1:13" x14ac:dyDescent="0.25">
      <c r="A42" s="5"/>
      <c r="B42" s="16"/>
      <c r="C42" s="5"/>
      <c r="D42" s="16"/>
      <c r="E42" s="17"/>
      <c r="F42" s="18"/>
      <c r="G42" s="18"/>
      <c r="H42" s="18"/>
      <c r="I42" s="17"/>
      <c r="J42" s="5"/>
      <c r="K42" s="5"/>
      <c r="L42" s="5"/>
      <c r="M42" s="18"/>
    </row>
    <row r="43" spans="1:13" x14ac:dyDescent="0.25">
      <c r="A43" s="1" t="s">
        <v>33</v>
      </c>
      <c r="B43" s="12" t="s">
        <v>5</v>
      </c>
      <c r="C43" s="12" t="s">
        <v>5</v>
      </c>
      <c r="D43" s="12" t="s">
        <v>5</v>
      </c>
      <c r="E43" s="13" t="s">
        <v>5</v>
      </c>
      <c r="F43" s="13" t="s">
        <v>5</v>
      </c>
      <c r="G43" s="13" t="s">
        <v>5</v>
      </c>
      <c r="H43" s="13" t="s">
        <v>5</v>
      </c>
      <c r="I43" s="13" t="s">
        <v>5</v>
      </c>
      <c r="J43" s="5"/>
      <c r="K43" s="5"/>
      <c r="L43" s="5"/>
      <c r="M43" s="5"/>
    </row>
    <row r="44" spans="1:13" x14ac:dyDescent="0.25">
      <c r="A44" s="5"/>
      <c r="B44" s="16">
        <f>SUM(B25:B41)</f>
        <v>65340002.06000001</v>
      </c>
      <c r="C44" s="16">
        <f t="shared" ref="C44:H44" si="15">SUM(C25:C41)</f>
        <v>63663487.870000005</v>
      </c>
      <c r="D44" s="16">
        <f t="shared" si="15"/>
        <v>1676514.1899999985</v>
      </c>
      <c r="E44" s="17">
        <f>D44/C44</f>
        <v>2.633399843601749E-2</v>
      </c>
      <c r="F44" s="16">
        <f t="shared" si="15"/>
        <v>131714316.33</v>
      </c>
      <c r="G44" s="16">
        <f t="shared" si="15"/>
        <v>132642918.19000001</v>
      </c>
      <c r="H44" s="16">
        <f t="shared" si="15"/>
        <v>-928601.86000000592</v>
      </c>
      <c r="I44" s="17">
        <f>H44/G44</f>
        <v>-7.000764704753107E-3</v>
      </c>
      <c r="J44" s="5"/>
      <c r="K44" s="5"/>
      <c r="L44" s="5"/>
      <c r="M44" s="18"/>
    </row>
    <row r="45" spans="1:13" x14ac:dyDescent="0.25">
      <c r="A45" s="25" t="s">
        <v>34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18"/>
    </row>
    <row r="48" spans="1:13" x14ac:dyDescent="0.25">
      <c r="A48" s="5"/>
      <c r="B48" s="16"/>
      <c r="C48" s="16"/>
      <c r="D48" s="16"/>
      <c r="E48" s="5"/>
      <c r="F48" s="18"/>
      <c r="G48" s="18"/>
      <c r="H48" s="18"/>
      <c r="I48" s="5"/>
      <c r="J48" s="5"/>
      <c r="K48" s="5"/>
      <c r="L48" s="5"/>
      <c r="M48" s="14"/>
    </row>
    <row r="49" spans="1:13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3" spans="1:13" x14ac:dyDescent="0.25">
      <c r="B53" s="16"/>
      <c r="C53" s="16"/>
      <c r="D53" s="16"/>
      <c r="E53" s="5"/>
      <c r="F53" s="18"/>
      <c r="G53" s="18"/>
      <c r="H53" s="18"/>
      <c r="I53" s="5"/>
      <c r="J53" s="5"/>
      <c r="K53" s="5"/>
      <c r="L53" s="5"/>
      <c r="M53" s="14"/>
    </row>
  </sheetData>
  <mergeCells count="2">
    <mergeCell ref="A1:I1"/>
    <mergeCell ref="A2:I2"/>
  </mergeCells>
  <pageMargins left="0.7" right="0.7" top="0.75" bottom="0.75" header="0.3" footer="0.3"/>
  <pageSetup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29AE1-7AB4-4278-8941-5B6A31E1F533}">
  <sheetPr>
    <pageSetUpPr fitToPage="1"/>
  </sheetPr>
  <dimension ref="A1:O53"/>
  <sheetViews>
    <sheetView zoomScale="85" zoomScaleNormal="85" workbookViewId="0">
      <selection activeCell="A9" sqref="A9:A47"/>
    </sheetView>
  </sheetViews>
  <sheetFormatPr defaultRowHeight="14.25" x14ac:dyDescent="0.2"/>
  <cols>
    <col min="1" max="1" width="65.125" bestFit="1" customWidth="1"/>
    <col min="2" max="3" width="15.25" bestFit="1" customWidth="1"/>
    <col min="4" max="4" width="12.625" customWidth="1"/>
    <col min="5" max="5" width="9.875" customWidth="1"/>
    <col min="6" max="6" width="13.875" customWidth="1"/>
    <col min="7" max="7" width="13.75" customWidth="1"/>
    <col min="8" max="8" width="13.125" bestFit="1" customWidth="1"/>
    <col min="9" max="9" width="10.625" customWidth="1"/>
    <col min="14" max="14" width="14" bestFit="1" customWidth="1"/>
    <col min="15" max="15" width="16.25" customWidth="1"/>
  </cols>
  <sheetData>
    <row r="1" spans="1:12" ht="18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27"/>
      <c r="K1" s="5"/>
      <c r="L1" s="5"/>
    </row>
    <row r="2" spans="1:12" x14ac:dyDescent="0.2">
      <c r="A2" s="54" t="s">
        <v>76</v>
      </c>
      <c r="B2" s="54"/>
      <c r="C2" s="54"/>
      <c r="D2" s="54"/>
      <c r="E2" s="54"/>
      <c r="F2" s="54"/>
      <c r="G2" s="54"/>
      <c r="H2" s="54"/>
      <c r="I2" s="54"/>
      <c r="J2" s="6"/>
      <c r="K2" s="5"/>
      <c r="L2" s="5"/>
    </row>
    <row r="3" spans="1:12" x14ac:dyDescent="0.2">
      <c r="A3" s="7"/>
      <c r="B3" s="5"/>
      <c r="C3" s="8"/>
      <c r="D3" s="5"/>
      <c r="E3" s="5"/>
      <c r="F3" s="5"/>
      <c r="G3" s="5"/>
      <c r="H3" s="5"/>
      <c r="I3" s="5"/>
      <c r="J3" s="5"/>
      <c r="K3" s="5"/>
      <c r="L3" s="5"/>
    </row>
    <row r="4" spans="1:12" x14ac:dyDescent="0.2">
      <c r="A4" s="7"/>
      <c r="B4" s="5"/>
      <c r="C4" s="5"/>
      <c r="D4" s="9" t="s">
        <v>35</v>
      </c>
      <c r="E4" s="5"/>
      <c r="F4" s="6" t="s">
        <v>36</v>
      </c>
      <c r="G4" s="6" t="s">
        <v>37</v>
      </c>
      <c r="H4" s="10" t="s">
        <v>35</v>
      </c>
      <c r="I4" s="5"/>
      <c r="J4" s="5"/>
      <c r="K4" s="5"/>
      <c r="L4" s="5"/>
    </row>
    <row r="5" spans="1:12" x14ac:dyDescent="0.2">
      <c r="A5" s="5"/>
      <c r="B5" s="11" t="s">
        <v>75</v>
      </c>
      <c r="C5" s="9" t="s">
        <v>56</v>
      </c>
      <c r="D5" s="8" t="s">
        <v>38</v>
      </c>
      <c r="E5" s="6" t="s">
        <v>39</v>
      </c>
      <c r="F5" s="6" t="s">
        <v>40</v>
      </c>
      <c r="G5" s="6" t="s">
        <v>40</v>
      </c>
      <c r="H5" s="6" t="s">
        <v>38</v>
      </c>
      <c r="I5" s="6" t="s">
        <v>39</v>
      </c>
      <c r="J5" s="5"/>
      <c r="K5" s="5"/>
      <c r="L5" s="5"/>
    </row>
    <row r="6" spans="1:12" x14ac:dyDescent="0.2">
      <c r="A6" s="5"/>
      <c r="B6" s="12" t="s">
        <v>5</v>
      </c>
      <c r="C6" s="12" t="s">
        <v>5</v>
      </c>
      <c r="D6" s="12" t="s">
        <v>5</v>
      </c>
      <c r="E6" s="13" t="s">
        <v>5</v>
      </c>
      <c r="F6" s="13" t="s">
        <v>5</v>
      </c>
      <c r="G6" s="13" t="s">
        <v>5</v>
      </c>
      <c r="H6" s="13" t="s">
        <v>5</v>
      </c>
      <c r="I6" s="13" t="s">
        <v>5</v>
      </c>
      <c r="J6" s="5"/>
      <c r="K6" s="5"/>
      <c r="L6" s="5"/>
    </row>
    <row r="7" spans="1:12" x14ac:dyDescent="0.2">
      <c r="A7" s="15" t="s">
        <v>74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A8" s="15" t="s">
        <v>41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">
      <c r="A9" s="3" t="s">
        <v>6</v>
      </c>
      <c r="B9" s="16">
        <v>154695979.81</v>
      </c>
      <c r="C9" s="16">
        <v>150606779.31999999</v>
      </c>
      <c r="D9" s="16">
        <v>4089200.4900000095</v>
      </c>
      <c r="E9" s="17">
        <v>2.7151503461285288E-2</v>
      </c>
      <c r="F9" s="18">
        <v>446011818.59999996</v>
      </c>
      <c r="G9" s="18">
        <v>446522504.90000004</v>
      </c>
      <c r="H9" s="18">
        <v>-510686.30000007153</v>
      </c>
      <c r="I9" s="17">
        <v>-1.1436966656684889E-3</v>
      </c>
      <c r="J9" s="5"/>
      <c r="K9" s="5"/>
      <c r="L9" s="5"/>
    </row>
    <row r="10" spans="1:12" x14ac:dyDescent="0.2">
      <c r="A10" s="3" t="s">
        <v>7</v>
      </c>
      <c r="B10" s="16">
        <v>188384282.09999999</v>
      </c>
      <c r="C10" s="16">
        <v>191720756.59999999</v>
      </c>
      <c r="D10" s="16">
        <v>-3336474.5</v>
      </c>
      <c r="E10" s="17">
        <v>-1.7402781833169546E-2</v>
      </c>
      <c r="F10" s="18">
        <v>557239035.03999996</v>
      </c>
      <c r="G10" s="18">
        <v>569121614.41999996</v>
      </c>
      <c r="H10" s="18">
        <v>-11882579.379999995</v>
      </c>
      <c r="I10" s="17">
        <v>-2.0878805300884071E-2</v>
      </c>
      <c r="J10" s="5"/>
      <c r="K10" s="5"/>
      <c r="L10" s="5"/>
    </row>
    <row r="11" spans="1:12" x14ac:dyDescent="0.2">
      <c r="A11" s="3" t="s">
        <v>8</v>
      </c>
      <c r="B11" s="16">
        <v>36139761.289999999</v>
      </c>
      <c r="C11" s="16">
        <v>36797958.270000003</v>
      </c>
      <c r="D11" s="16">
        <v>-658196.98000000417</v>
      </c>
      <c r="E11" s="17">
        <v>-1.7886779890627993E-2</v>
      </c>
      <c r="F11" s="18">
        <v>107003073.15000001</v>
      </c>
      <c r="G11" s="18">
        <v>109235932.71000001</v>
      </c>
      <c r="H11" s="18">
        <v>-2232859.5600000024</v>
      </c>
      <c r="I11" s="17">
        <v>-2.0440705769664703E-2</v>
      </c>
      <c r="J11" s="5"/>
      <c r="K11" s="5"/>
      <c r="L11" s="5"/>
    </row>
    <row r="12" spans="1:12" x14ac:dyDescent="0.2">
      <c r="A12" s="3" t="s">
        <v>9</v>
      </c>
      <c r="B12" s="16">
        <v>126469799.89</v>
      </c>
      <c r="C12" s="16">
        <v>128771972.53</v>
      </c>
      <c r="D12" s="16">
        <v>-2302172.6400000006</v>
      </c>
      <c r="E12" s="17">
        <v>-1.7877901493383301E-2</v>
      </c>
      <c r="F12" s="18">
        <v>374448304.55000001</v>
      </c>
      <c r="G12" s="18">
        <v>382247586.81</v>
      </c>
      <c r="H12" s="18">
        <v>-7799282.2599999905</v>
      </c>
      <c r="I12" s="17">
        <v>-2.0403744926391652E-2</v>
      </c>
      <c r="J12" s="5"/>
      <c r="K12" s="5"/>
      <c r="L12" s="5"/>
    </row>
    <row r="13" spans="1:12" x14ac:dyDescent="0.2">
      <c r="A13" s="3" t="s">
        <v>10</v>
      </c>
      <c r="B13" s="16">
        <v>99717919.719999999</v>
      </c>
      <c r="C13" s="16">
        <v>101496013.05</v>
      </c>
      <c r="D13" s="16">
        <v>-1778093.3299999982</v>
      </c>
      <c r="E13" s="17">
        <v>-1.7518849032267463E-2</v>
      </c>
      <c r="F13" s="18">
        <v>293694767.62</v>
      </c>
      <c r="G13" s="18">
        <v>300976966.63999999</v>
      </c>
      <c r="H13" s="18">
        <v>-7282199.0199999809</v>
      </c>
      <c r="I13" s="17">
        <v>-2.4195203710422979E-2</v>
      </c>
      <c r="J13" s="5"/>
      <c r="K13" s="5"/>
      <c r="L13" s="5"/>
    </row>
    <row r="14" spans="1:12" x14ac:dyDescent="0.2">
      <c r="A14" s="5"/>
      <c r="B14" s="12" t="s">
        <v>5</v>
      </c>
      <c r="C14" s="12" t="s">
        <v>5</v>
      </c>
      <c r="D14" s="12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5"/>
      <c r="K14" s="5"/>
      <c r="L14" s="5"/>
    </row>
    <row r="15" spans="1:12" x14ac:dyDescent="0.2">
      <c r="A15" s="1" t="s">
        <v>11</v>
      </c>
      <c r="B15" s="19">
        <v>605407742.80999994</v>
      </c>
      <c r="C15" s="19">
        <v>609393479.76999986</v>
      </c>
      <c r="D15" s="19">
        <v>-3985736.9599999934</v>
      </c>
      <c r="E15" s="20">
        <v>-6.5404982040574329E-3</v>
      </c>
      <c r="F15" s="21">
        <v>1778396998.96</v>
      </c>
      <c r="G15" s="21">
        <v>1808104605.48</v>
      </c>
      <c r="H15" s="21">
        <v>-29707606.520000041</v>
      </c>
      <c r="I15" s="20">
        <v>-1.6430247691401417E-2</v>
      </c>
      <c r="J15" s="1"/>
      <c r="K15" s="5"/>
      <c r="L15" s="5"/>
    </row>
    <row r="16" spans="1:12" x14ac:dyDescent="0.2">
      <c r="A16" s="5"/>
      <c r="B16" s="16"/>
      <c r="C16" s="16"/>
      <c r="D16" s="5"/>
      <c r="E16" s="17"/>
      <c r="F16" s="5"/>
      <c r="G16" s="5"/>
      <c r="H16" s="5"/>
      <c r="I16" s="5"/>
      <c r="J16" s="5"/>
      <c r="K16" s="5"/>
      <c r="L16" s="5"/>
    </row>
    <row r="17" spans="1:14" x14ac:dyDescent="0.2">
      <c r="A17" s="3" t="s">
        <v>12</v>
      </c>
      <c r="B17" s="16">
        <v>108059.78</v>
      </c>
      <c r="C17" s="16">
        <v>162389.17000000001</v>
      </c>
      <c r="D17" s="16">
        <v>-54329.390000000014</v>
      </c>
      <c r="E17" s="17">
        <v>-0.33456288987744692</v>
      </c>
      <c r="F17" s="18">
        <v>108059.78</v>
      </c>
      <c r="G17" s="18">
        <v>162389.17000000001</v>
      </c>
      <c r="H17" s="18">
        <v>-54329.390000000014</v>
      </c>
      <c r="I17" s="17">
        <v>-0.33456288987744692</v>
      </c>
      <c r="J17" s="5"/>
      <c r="K17" s="5"/>
      <c r="L17" s="5"/>
    </row>
    <row r="18" spans="1:14" x14ac:dyDescent="0.2">
      <c r="A18" s="1" t="s">
        <v>13</v>
      </c>
      <c r="B18" s="16">
        <v>168880719.26999998</v>
      </c>
      <c r="C18" s="16">
        <v>156451059.03</v>
      </c>
      <c r="D18" s="16">
        <v>12429660.23999998</v>
      </c>
      <c r="E18" s="17">
        <v>7.9447594136237532E-2</v>
      </c>
      <c r="F18" s="18">
        <v>168880719.26999998</v>
      </c>
      <c r="G18" s="18">
        <v>156451059.03</v>
      </c>
      <c r="H18" s="18">
        <v>12429660.23999998</v>
      </c>
      <c r="I18" s="17">
        <v>7.9447594136237532E-2</v>
      </c>
      <c r="J18" s="5"/>
      <c r="K18" s="5"/>
      <c r="L18" s="5"/>
    </row>
    <row r="19" spans="1:14" x14ac:dyDescent="0.2">
      <c r="A19" s="5"/>
      <c r="B19" s="12" t="s">
        <v>5</v>
      </c>
      <c r="C19" s="12" t="s">
        <v>5</v>
      </c>
      <c r="D19" s="12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5"/>
      <c r="K19" s="5"/>
      <c r="L19" s="5"/>
    </row>
    <row r="20" spans="1:14" x14ac:dyDescent="0.2">
      <c r="A20" s="1" t="s">
        <v>14</v>
      </c>
      <c r="B20" s="16">
        <v>774396521.8599999</v>
      </c>
      <c r="C20" s="16">
        <v>766006927.96999979</v>
      </c>
      <c r="D20" s="16">
        <v>8389593.8899999857</v>
      </c>
      <c r="E20" s="17">
        <v>1.0952373384185057E-2</v>
      </c>
      <c r="F20" s="16">
        <v>1947385778.01</v>
      </c>
      <c r="G20" s="16">
        <v>1964718053.6800001</v>
      </c>
      <c r="H20" s="16">
        <v>-17332275.670000061</v>
      </c>
      <c r="I20" s="17">
        <v>-8.8217623070831839E-3</v>
      </c>
      <c r="J20" s="5"/>
      <c r="K20" s="5"/>
      <c r="L20" s="5"/>
    </row>
    <row r="21" spans="1:14" x14ac:dyDescent="0.2">
      <c r="A21" s="1"/>
      <c r="B21" s="16"/>
      <c r="C21" s="16"/>
      <c r="D21" s="16"/>
      <c r="E21" s="17"/>
      <c r="F21" s="18"/>
      <c r="G21" s="18"/>
      <c r="H21" s="18"/>
      <c r="I21" s="17"/>
      <c r="J21" s="5"/>
      <c r="K21" s="5"/>
      <c r="L21" s="5"/>
    </row>
    <row r="22" spans="1:14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4" x14ac:dyDescent="0.2">
      <c r="A23" s="15" t="s">
        <v>73</v>
      </c>
      <c r="B23" s="16"/>
      <c r="C23" s="16"/>
      <c r="D23" s="16"/>
      <c r="E23" s="17"/>
      <c r="F23" s="18"/>
      <c r="G23" s="18"/>
      <c r="H23" s="18"/>
      <c r="I23" s="17"/>
      <c r="J23" s="5"/>
      <c r="K23" s="5"/>
      <c r="L23" s="5"/>
    </row>
    <row r="24" spans="1:14" x14ac:dyDescent="0.2">
      <c r="A24" s="22" t="s">
        <v>42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4" x14ac:dyDescent="0.2">
      <c r="A25" s="1" t="s">
        <v>17</v>
      </c>
      <c r="B25" s="16">
        <v>10719184.879999999</v>
      </c>
      <c r="C25" s="16">
        <v>11590401.380000001</v>
      </c>
      <c r="D25" s="16">
        <v>-871216.50000000186</v>
      </c>
      <c r="E25" s="17">
        <v>-7.5167068976864176E-2</v>
      </c>
      <c r="F25" s="18">
        <v>32005311.260000002</v>
      </c>
      <c r="G25" s="18">
        <v>35953540.880000003</v>
      </c>
      <c r="H25" s="18">
        <v>-3948229.620000001</v>
      </c>
      <c r="I25" s="17">
        <v>-0.10981476436987868</v>
      </c>
      <c r="J25" s="5"/>
      <c r="K25" s="5"/>
      <c r="L25" s="5"/>
    </row>
    <row r="26" spans="1:14" x14ac:dyDescent="0.2">
      <c r="A26" s="1" t="s">
        <v>18</v>
      </c>
      <c r="B26" s="16">
        <v>2365461.6800000002</v>
      </c>
      <c r="C26" s="16">
        <v>2624575.4900000002</v>
      </c>
      <c r="D26" s="16">
        <v>-259113.81000000006</v>
      </c>
      <c r="E26" s="17">
        <v>-9.8725988635975578E-2</v>
      </c>
      <c r="F26" s="18">
        <v>7981363</v>
      </c>
      <c r="G26" s="18">
        <v>8186221.5</v>
      </c>
      <c r="H26" s="18">
        <v>-204858.5</v>
      </c>
      <c r="I26" s="17">
        <v>-2.50247931844991E-2</v>
      </c>
      <c r="J26" s="5"/>
      <c r="K26" s="5"/>
      <c r="L26" s="5"/>
    </row>
    <row r="27" spans="1:14" x14ac:dyDescent="0.2">
      <c r="A27" s="1" t="s">
        <v>19</v>
      </c>
      <c r="B27" s="16">
        <v>4252306.17</v>
      </c>
      <c r="C27" s="16">
        <v>4008226.25</v>
      </c>
      <c r="D27" s="16">
        <v>244079.91999999993</v>
      </c>
      <c r="E27" s="17">
        <v>6.0894746148623703E-2</v>
      </c>
      <c r="F27" s="18">
        <v>12654736.83</v>
      </c>
      <c r="G27" s="18">
        <v>15036266.560000001</v>
      </c>
      <c r="H27" s="18">
        <v>-2381529.7300000004</v>
      </c>
      <c r="I27" s="17">
        <v>-0.15838570834700608</v>
      </c>
      <c r="J27" s="5"/>
      <c r="K27" s="5"/>
      <c r="L27" s="5"/>
    </row>
    <row r="28" spans="1:14" x14ac:dyDescent="0.2">
      <c r="A28" s="1" t="s">
        <v>20</v>
      </c>
      <c r="B28" s="16">
        <v>143516423.12</v>
      </c>
      <c r="C28" s="16">
        <v>140826316.94</v>
      </c>
      <c r="D28" s="16">
        <v>2690106.1800000072</v>
      </c>
      <c r="E28" s="17">
        <v>1.9102297343657329E-2</v>
      </c>
      <c r="F28" s="18">
        <v>143516423.12</v>
      </c>
      <c r="G28" s="18">
        <v>140826316.94</v>
      </c>
      <c r="H28" s="18">
        <v>2690106.1800000072</v>
      </c>
      <c r="I28" s="17">
        <v>1.9102297343657329E-2</v>
      </c>
      <c r="J28" s="5"/>
      <c r="K28" s="5"/>
      <c r="L28" s="5"/>
    </row>
    <row r="29" spans="1:14" x14ac:dyDescent="0.2">
      <c r="A29" s="1" t="s">
        <v>21</v>
      </c>
      <c r="B29" s="16">
        <v>205416.56999999998</v>
      </c>
      <c r="C29" s="16">
        <v>215304.12</v>
      </c>
      <c r="D29" s="16">
        <v>-9887.5500000000175</v>
      </c>
      <c r="E29" s="17">
        <v>-4.5923645121143143E-2</v>
      </c>
      <c r="F29" s="18">
        <v>643369.72</v>
      </c>
      <c r="G29" s="18">
        <v>634021.46</v>
      </c>
      <c r="H29" s="18">
        <v>9348.2600000000093</v>
      </c>
      <c r="I29" s="17">
        <v>1.4744390513217029E-2</v>
      </c>
      <c r="J29" s="5"/>
      <c r="K29" s="5"/>
      <c r="L29" s="5"/>
    </row>
    <row r="30" spans="1:14" x14ac:dyDescent="0.2">
      <c r="A30" s="1" t="s">
        <v>43</v>
      </c>
      <c r="B30" s="16">
        <v>23999480.170000002</v>
      </c>
      <c r="C30" s="16">
        <v>26612139.02</v>
      </c>
      <c r="D30" s="16">
        <v>-2612658.8499999978</v>
      </c>
      <c r="E30" s="17">
        <v>-9.8175454744035745E-2</v>
      </c>
      <c r="F30" s="18">
        <v>23999480.170000002</v>
      </c>
      <c r="G30" s="18">
        <v>26612139.02</v>
      </c>
      <c r="H30" s="18">
        <v>-2612658.8499999978</v>
      </c>
      <c r="I30" s="17">
        <v>-9.8175454744035745E-2</v>
      </c>
      <c r="J30" s="5"/>
      <c r="K30" s="5"/>
      <c r="L30" s="5"/>
    </row>
    <row r="31" spans="1:14" x14ac:dyDescent="0.2">
      <c r="A31" s="1" t="s">
        <v>23</v>
      </c>
      <c r="B31" s="16">
        <v>5081116.63</v>
      </c>
      <c r="C31" s="16">
        <v>15515400.84</v>
      </c>
      <c r="D31" s="16">
        <v>-10434284.210000001</v>
      </c>
      <c r="E31" s="17">
        <v>-0.67251141737179898</v>
      </c>
      <c r="F31" s="18">
        <v>22204318.419999998</v>
      </c>
      <c r="G31" s="18">
        <v>29023708.990000002</v>
      </c>
      <c r="H31" s="18">
        <v>-6819390.570000004</v>
      </c>
      <c r="I31" s="17">
        <v>-0.23495930765945858</v>
      </c>
      <c r="J31" s="5"/>
      <c r="K31" s="5"/>
      <c r="L31" s="14"/>
      <c r="N31" s="47"/>
    </row>
    <row r="32" spans="1:14" x14ac:dyDescent="0.2">
      <c r="A32" s="1" t="s">
        <v>24</v>
      </c>
      <c r="B32" s="16">
        <v>404005</v>
      </c>
      <c r="C32" s="16">
        <v>549692.49</v>
      </c>
      <c r="D32" s="16">
        <v>-145687.49</v>
      </c>
      <c r="E32" s="17">
        <v>-0.26503452866892907</v>
      </c>
      <c r="F32" s="18">
        <v>404005</v>
      </c>
      <c r="G32" s="18">
        <v>549692.49</v>
      </c>
      <c r="H32" s="18">
        <v>-145687.49</v>
      </c>
      <c r="I32" s="17">
        <v>-0.26503452866892907</v>
      </c>
      <c r="J32" s="5"/>
      <c r="K32" s="5"/>
      <c r="L32" s="5"/>
    </row>
    <row r="33" spans="1:15" x14ac:dyDescent="0.2">
      <c r="A33" s="1" t="s">
        <v>54</v>
      </c>
      <c r="B33" s="16">
        <v>-24277.759999999998</v>
      </c>
      <c r="C33" s="16">
        <v>832480.94</v>
      </c>
      <c r="D33" s="16">
        <v>-856758.7</v>
      </c>
      <c r="E33" s="17">
        <v>-1.029163142161549</v>
      </c>
      <c r="F33" s="18">
        <v>-24277.759999999998</v>
      </c>
      <c r="G33" s="18">
        <v>832480.94</v>
      </c>
      <c r="H33" s="18">
        <v>-856758.7</v>
      </c>
      <c r="I33" s="17">
        <v>-1.029163142161549</v>
      </c>
      <c r="J33" s="5"/>
      <c r="K33" s="5"/>
      <c r="L33" s="5"/>
    </row>
    <row r="34" spans="1:15" x14ac:dyDescent="0.2">
      <c r="A34" s="1" t="s">
        <v>25</v>
      </c>
      <c r="B34" s="16">
        <v>30561948.210000001</v>
      </c>
      <c r="C34" s="16">
        <v>28420652.260000002</v>
      </c>
      <c r="D34" s="16">
        <v>2141295.9499999993</v>
      </c>
      <c r="E34" s="17">
        <v>7.5342955904418751E-2</v>
      </c>
      <c r="F34" s="18">
        <v>30561948.210000001</v>
      </c>
      <c r="G34" s="18">
        <v>28420652.260000002</v>
      </c>
      <c r="H34" s="18">
        <v>2141295.9499999993</v>
      </c>
      <c r="I34" s="17">
        <v>7.5342955904418751E-2</v>
      </c>
      <c r="J34" s="5"/>
      <c r="K34" s="5"/>
      <c r="L34" s="5"/>
    </row>
    <row r="35" spans="1:15" x14ac:dyDescent="0.2">
      <c r="A35" s="1" t="s">
        <v>26</v>
      </c>
      <c r="B35" s="23" t="s">
        <v>44</v>
      </c>
      <c r="C35" s="23" t="s">
        <v>44</v>
      </c>
      <c r="D35" s="23" t="s">
        <v>45</v>
      </c>
      <c r="E35" s="23" t="s">
        <v>46</v>
      </c>
      <c r="F35" s="23" t="s">
        <v>47</v>
      </c>
      <c r="G35" s="24" t="s">
        <v>48</v>
      </c>
      <c r="H35" s="23" t="s">
        <v>49</v>
      </c>
      <c r="I35" s="23" t="s">
        <v>50</v>
      </c>
      <c r="J35" s="5"/>
      <c r="K35" s="5"/>
      <c r="L35" s="5"/>
      <c r="O35" s="48"/>
    </row>
    <row r="36" spans="1:15" x14ac:dyDescent="0.2">
      <c r="A36" s="1" t="s">
        <v>27</v>
      </c>
      <c r="B36" s="16">
        <v>2883142.44</v>
      </c>
      <c r="C36" s="16">
        <v>2758456.51</v>
      </c>
      <c r="D36" s="16">
        <v>124685.93000000017</v>
      </c>
      <c r="E36" s="17">
        <v>4.5201339788387737E-2</v>
      </c>
      <c r="F36" s="18">
        <v>8167450.4399999995</v>
      </c>
      <c r="G36" s="18">
        <v>7612619.959999999</v>
      </c>
      <c r="H36" s="18">
        <v>554830.48000000045</v>
      </c>
      <c r="I36" s="17">
        <v>7.2882986792368459E-2</v>
      </c>
      <c r="J36" s="5"/>
      <c r="K36" s="5"/>
      <c r="L36" s="5"/>
      <c r="O36" s="48"/>
    </row>
    <row r="37" spans="1:15" x14ac:dyDescent="0.2">
      <c r="A37" s="1" t="s">
        <v>28</v>
      </c>
      <c r="B37" s="16">
        <v>20866969.710000001</v>
      </c>
      <c r="C37" s="16">
        <v>19272011.620000001</v>
      </c>
      <c r="D37" s="16">
        <v>1594958.0899999999</v>
      </c>
      <c r="E37" s="17">
        <v>8.2760332519973848E-2</v>
      </c>
      <c r="F37" s="18">
        <v>57263871.68</v>
      </c>
      <c r="G37" s="18">
        <v>53530367.13000001</v>
      </c>
      <c r="H37" s="18">
        <v>3733504.5499999896</v>
      </c>
      <c r="I37" s="17">
        <v>6.9745543514264874E-2</v>
      </c>
      <c r="J37" s="5"/>
      <c r="K37" s="5"/>
      <c r="L37" s="5"/>
      <c r="O37" s="48"/>
    </row>
    <row r="38" spans="1:15" x14ac:dyDescent="0.2">
      <c r="A38" s="1" t="s">
        <v>29</v>
      </c>
      <c r="B38" s="16">
        <v>3767556.72</v>
      </c>
      <c r="C38" s="16">
        <v>3695943.74</v>
      </c>
      <c r="D38" s="16">
        <v>71612.979999999981</v>
      </c>
      <c r="E38" s="17">
        <v>1.9376101217384867E-2</v>
      </c>
      <c r="F38" s="18">
        <v>11177142.16</v>
      </c>
      <c r="G38" s="18">
        <v>10374081.439999999</v>
      </c>
      <c r="H38" s="18">
        <v>803060.72000000067</v>
      </c>
      <c r="I38" s="17">
        <v>7.7410296482114435E-2</v>
      </c>
      <c r="J38" s="5"/>
      <c r="K38" s="5"/>
      <c r="L38" s="5"/>
    </row>
    <row r="39" spans="1:15" x14ac:dyDescent="0.2">
      <c r="A39" s="1" t="s">
        <v>30</v>
      </c>
      <c r="B39" s="16">
        <v>3093841.0900000003</v>
      </c>
      <c r="C39" s="16">
        <v>13311391.060000001</v>
      </c>
      <c r="D39" s="16">
        <v>-10217549.970000001</v>
      </c>
      <c r="E39" s="17">
        <v>-0.76757943057530464</v>
      </c>
      <c r="F39" s="18">
        <v>15124079.91</v>
      </c>
      <c r="G39" s="18">
        <v>24627654.630000003</v>
      </c>
      <c r="H39" s="18">
        <v>-9503574.7200000025</v>
      </c>
      <c r="I39" s="17">
        <v>-0.38589036848126373</v>
      </c>
      <c r="J39" s="5"/>
      <c r="K39" s="5"/>
      <c r="L39" s="5"/>
    </row>
    <row r="40" spans="1:15" x14ac:dyDescent="0.2">
      <c r="A40" s="1" t="s">
        <v>51</v>
      </c>
      <c r="B40" s="16">
        <v>7442281.0300000003</v>
      </c>
      <c r="C40" s="16">
        <v>6175563.9800000004</v>
      </c>
      <c r="D40" s="16">
        <v>1266717.0499999998</v>
      </c>
      <c r="E40" s="17">
        <v>0.20511763040628392</v>
      </c>
      <c r="F40" s="18">
        <v>19751404.41</v>
      </c>
      <c r="G40" s="18">
        <v>19118018.280000001</v>
      </c>
      <c r="H40" s="18">
        <v>633386.12999999896</v>
      </c>
      <c r="I40" s="17">
        <v>3.3130323484553074E-2</v>
      </c>
      <c r="J40" s="5"/>
      <c r="K40" s="5"/>
      <c r="L40" s="5"/>
    </row>
    <row r="41" spans="1:15" x14ac:dyDescent="0.2">
      <c r="A41" s="1" t="s">
        <v>32</v>
      </c>
      <c r="B41" s="16">
        <v>3123384.77</v>
      </c>
      <c r="C41" s="16">
        <v>3663097.43</v>
      </c>
      <c r="D41" s="16">
        <v>-539712.66000000015</v>
      </c>
      <c r="E41" s="17">
        <v>-0.14733778456992888</v>
      </c>
      <c r="F41" s="18">
        <v>8691930.1899999995</v>
      </c>
      <c r="G41" s="18">
        <v>11376789.779999999</v>
      </c>
      <c r="H41" s="18">
        <v>-2684859.59</v>
      </c>
      <c r="I41" s="17">
        <v>-0.23599448015818045</v>
      </c>
      <c r="J41" s="5"/>
      <c r="K41" s="5"/>
      <c r="L41" s="5"/>
    </row>
    <row r="42" spans="1:15" x14ac:dyDescent="0.2">
      <c r="A42" s="5"/>
      <c r="B42" s="16"/>
      <c r="C42" s="5"/>
      <c r="D42" s="16"/>
      <c r="E42" s="17"/>
      <c r="F42" s="18"/>
      <c r="G42" s="18"/>
      <c r="H42" s="18"/>
      <c r="I42" s="17"/>
      <c r="J42" s="5"/>
      <c r="K42" s="5"/>
      <c r="L42" s="5"/>
    </row>
    <row r="43" spans="1:15" x14ac:dyDescent="0.2">
      <c r="A43" s="1" t="s">
        <v>33</v>
      </c>
      <c r="B43" s="12" t="s">
        <v>5</v>
      </c>
      <c r="C43" s="12" t="s">
        <v>5</v>
      </c>
      <c r="D43" s="12" t="s">
        <v>5</v>
      </c>
      <c r="E43" s="13" t="s">
        <v>5</v>
      </c>
      <c r="F43" s="13" t="s">
        <v>5</v>
      </c>
      <c r="G43" s="13" t="s">
        <v>5</v>
      </c>
      <c r="H43" s="13" t="s">
        <v>5</v>
      </c>
      <c r="I43" s="13" t="s">
        <v>5</v>
      </c>
      <c r="J43" s="5"/>
      <c r="K43" s="5"/>
      <c r="L43" s="5"/>
    </row>
    <row r="44" spans="1:15" x14ac:dyDescent="0.2">
      <c r="A44" s="5"/>
      <c r="B44" s="16">
        <v>262258240.43000001</v>
      </c>
      <c r="C44" s="16">
        <v>280071654.07000005</v>
      </c>
      <c r="D44" s="16">
        <v>-17813413.639999993</v>
      </c>
      <c r="E44" s="17">
        <v>-6.3603057935837287E-2</v>
      </c>
      <c r="F44" s="16">
        <v>394122556.76000011</v>
      </c>
      <c r="G44" s="16">
        <v>412714572.25999999</v>
      </c>
      <c r="H44" s="16">
        <v>-18592015.500000007</v>
      </c>
      <c r="I44" s="17">
        <v>-4.5048119813631139E-2</v>
      </c>
      <c r="J44" s="5"/>
      <c r="K44" s="5"/>
      <c r="L44" s="5"/>
    </row>
    <row r="45" spans="1:15" x14ac:dyDescent="0.2">
      <c r="A45" s="25" t="s">
        <v>34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8" spans="1:15" x14ac:dyDescent="0.2">
      <c r="A48" s="5"/>
      <c r="B48" s="16"/>
      <c r="C48" s="16"/>
      <c r="D48" s="16"/>
      <c r="E48" s="5"/>
      <c r="F48" s="18"/>
      <c r="G48" s="18"/>
      <c r="H48" s="18"/>
      <c r="I48" s="5"/>
      <c r="J48" s="5"/>
      <c r="K48" s="5"/>
      <c r="L48" s="5"/>
    </row>
    <row r="49" spans="1:12" x14ac:dyDescent="0.2">
      <c r="A49" s="5"/>
      <c r="B49" s="5"/>
      <c r="C49" s="16"/>
      <c r="D49" s="5"/>
      <c r="E49" s="5"/>
      <c r="F49" s="5"/>
      <c r="G49" s="5"/>
      <c r="H49" s="5"/>
      <c r="I49" s="5"/>
      <c r="J49" s="5"/>
      <c r="K49" s="5"/>
      <c r="L49" s="5"/>
    </row>
    <row r="53" spans="1:12" x14ac:dyDescent="0.2">
      <c r="B53" s="16"/>
      <c r="C53" s="16"/>
      <c r="D53" s="16"/>
      <c r="E53" s="5"/>
      <c r="F53" s="18"/>
      <c r="G53" s="18"/>
      <c r="H53" s="18"/>
      <c r="I53" s="5"/>
      <c r="J53" s="5"/>
      <c r="K53" s="5"/>
      <c r="L53" s="5"/>
    </row>
  </sheetData>
  <mergeCells count="2">
    <mergeCell ref="A1:I1"/>
    <mergeCell ref="A2:I2"/>
  </mergeCells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1B3E6-DB4A-4CC1-B366-7F95498F2A15}">
  <dimension ref="A1"/>
  <sheetViews>
    <sheetView tabSelected="1" topLeftCell="A33" workbookViewId="0">
      <selection activeCell="O48" sqref="O48"/>
    </sheetView>
  </sheetViews>
  <sheetFormatPr defaultRowHeight="15" x14ac:dyDescent="0.25"/>
  <cols>
    <col min="1" max="16384" width="9" style="5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4ACC-4687-41B2-B442-1DA6CF66520D}">
  <dimension ref="A1:M50"/>
  <sheetViews>
    <sheetView zoomScaleNormal="100" workbookViewId="0">
      <selection activeCell="B28" sqref="B28"/>
    </sheetView>
  </sheetViews>
  <sheetFormatPr defaultRowHeight="15" x14ac:dyDescent="0.25"/>
  <cols>
    <col min="1" max="1" width="60.375" style="49" customWidth="1"/>
    <col min="2" max="3" width="15.25" style="49" bestFit="1" customWidth="1"/>
    <col min="4" max="4" width="12.625" style="49" customWidth="1"/>
    <col min="5" max="5" width="9.875" style="49" customWidth="1"/>
    <col min="6" max="6" width="13.875" style="49" customWidth="1"/>
    <col min="7" max="7" width="13.75" style="49" customWidth="1"/>
    <col min="8" max="8" width="13.125" style="49" bestFit="1" customWidth="1"/>
    <col min="9" max="9" width="8.875" style="49" customWidth="1"/>
    <col min="10" max="12" width="9" style="49"/>
    <col min="13" max="13" width="11.125" style="49" bestFit="1" customWidth="1"/>
    <col min="14" max="14" width="15.625" style="49" customWidth="1"/>
    <col min="15" max="15" width="13" style="49" bestFit="1" customWidth="1"/>
    <col min="16" max="16384" width="9" style="49"/>
  </cols>
  <sheetData>
    <row r="1" spans="1:13" ht="18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27"/>
      <c r="K1" s="5"/>
      <c r="L1" s="5"/>
      <c r="M1" s="5"/>
    </row>
    <row r="2" spans="1:13" x14ac:dyDescent="0.25">
      <c r="A2" s="53" t="s">
        <v>80</v>
      </c>
      <c r="B2" s="53"/>
      <c r="C2" s="53"/>
      <c r="D2" s="53"/>
      <c r="E2" s="53"/>
      <c r="F2" s="53"/>
      <c r="G2" s="53"/>
      <c r="H2" s="53"/>
      <c r="I2" s="53"/>
      <c r="J2" s="6"/>
      <c r="K2" s="5"/>
      <c r="L2" s="5"/>
      <c r="M2" s="5"/>
    </row>
    <row r="3" spans="1:13" x14ac:dyDescent="0.25">
      <c r="A3" s="7"/>
      <c r="B3" s="5"/>
      <c r="C3" s="8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7"/>
      <c r="B4" s="5"/>
      <c r="C4" s="5"/>
      <c r="D4" s="9" t="s">
        <v>35</v>
      </c>
      <c r="E4" s="5"/>
      <c r="F4" s="6" t="s">
        <v>36</v>
      </c>
      <c r="G4" s="6" t="s">
        <v>37</v>
      </c>
      <c r="H4" s="10" t="s">
        <v>35</v>
      </c>
      <c r="I4" s="5"/>
      <c r="J4" s="5"/>
      <c r="K4" s="5"/>
      <c r="L4" s="5"/>
      <c r="M4" s="5"/>
    </row>
    <row r="5" spans="1:13" x14ac:dyDescent="0.25">
      <c r="A5" s="5"/>
      <c r="B5" s="11" t="s">
        <v>79</v>
      </c>
      <c r="C5" s="9" t="s">
        <v>57</v>
      </c>
      <c r="D5" s="8" t="s">
        <v>38</v>
      </c>
      <c r="E5" s="6" t="s">
        <v>39</v>
      </c>
      <c r="F5" s="6" t="s">
        <v>40</v>
      </c>
      <c r="G5" s="6" t="s">
        <v>40</v>
      </c>
      <c r="H5" s="6" t="s">
        <v>38</v>
      </c>
      <c r="I5" s="6" t="s">
        <v>39</v>
      </c>
      <c r="J5" s="5"/>
      <c r="K5" s="5"/>
      <c r="L5" s="5"/>
      <c r="M5" s="6"/>
    </row>
    <row r="6" spans="1:13" x14ac:dyDescent="0.25">
      <c r="A6" s="5"/>
      <c r="B6" s="12" t="s">
        <v>5</v>
      </c>
      <c r="C6" s="12" t="s">
        <v>5</v>
      </c>
      <c r="D6" s="12" t="s">
        <v>5</v>
      </c>
      <c r="E6" s="13" t="s">
        <v>5</v>
      </c>
      <c r="F6" s="13" t="s">
        <v>5</v>
      </c>
      <c r="G6" s="13" t="s">
        <v>5</v>
      </c>
      <c r="H6" s="13" t="s">
        <v>5</v>
      </c>
      <c r="I6" s="13" t="s">
        <v>5</v>
      </c>
      <c r="J6" s="5"/>
      <c r="K6" s="5"/>
      <c r="L6" s="5"/>
      <c r="M6" s="6"/>
    </row>
    <row r="7" spans="1:13" x14ac:dyDescent="0.25">
      <c r="A7" s="15" t="s">
        <v>78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4"/>
    </row>
    <row r="8" spans="1:13" x14ac:dyDescent="0.25">
      <c r="A8" s="15" t="s">
        <v>41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0" t="s">
        <v>6</v>
      </c>
      <c r="B9" s="16">
        <f>141162847.15+841934.04+80364.64</f>
        <v>142085145.82999998</v>
      </c>
      <c r="C9" s="16">
        <f>[1]FY24!F7</f>
        <v>145855188.53999999</v>
      </c>
      <c r="D9" s="16">
        <f>B9-C9</f>
        <v>-3770042.7100000083</v>
      </c>
      <c r="E9" s="17">
        <f>D9/C9</f>
        <v>-2.5847847771052004E-2</v>
      </c>
      <c r="F9" s="18">
        <f>[1]JUL!F9+[1]AUG!B9+[1]SEP!B9+OCT!B9</f>
        <v>588096964.42999995</v>
      </c>
      <c r="G9" s="18">
        <f>[1]FY24!C7+[1]FY24!D7+[1]FY24!E7+[1]FY24!F7</f>
        <v>592377693.44000006</v>
      </c>
      <c r="H9" s="18">
        <f>F9-G9</f>
        <v>-4280729.0100001097</v>
      </c>
      <c r="I9" s="17">
        <f>H9/G9</f>
        <v>-7.2263507849889864E-3</v>
      </c>
      <c r="J9" s="5"/>
      <c r="K9" s="5"/>
      <c r="L9" s="5"/>
      <c r="M9" s="18"/>
    </row>
    <row r="10" spans="1:13" x14ac:dyDescent="0.25">
      <c r="A10" s="50" t="s">
        <v>7</v>
      </c>
      <c r="B10" s="16">
        <f>182223663.78+1093528.6+104475.85</f>
        <v>183421668.22999999</v>
      </c>
      <c r="C10" s="16">
        <f>[1]FY24!F8</f>
        <v>189410188.83000001</v>
      </c>
      <c r="D10" s="16">
        <f>B10-C10</f>
        <v>-5988520.6000000238</v>
      </c>
      <c r="E10" s="17">
        <f>D10/C10</f>
        <v>-3.1616676151328155E-2</v>
      </c>
      <c r="F10" s="18">
        <f>[1]JUL!F10+[1]AUG!B10+[1]SEP!B10+OCT!B10</f>
        <v>740660703.26999998</v>
      </c>
      <c r="G10" s="18">
        <f>[1]FY24!C8+[1]FY24!D8+[1]FY24!E8+[1]FY24!F8</f>
        <v>758531803.25</v>
      </c>
      <c r="H10" s="18">
        <f>F10-G10</f>
        <v>-17871099.980000019</v>
      </c>
      <c r="I10" s="17">
        <f>H10/G10</f>
        <v>-2.3560119567076331E-2</v>
      </c>
      <c r="J10" s="5"/>
      <c r="K10" s="5"/>
      <c r="L10" s="5"/>
      <c r="M10" s="18"/>
    </row>
    <row r="11" spans="1:13" x14ac:dyDescent="0.25">
      <c r="A11" s="50" t="s">
        <v>8</v>
      </c>
      <c r="B11" s="16">
        <f>35039925.66+210294.75+20092.43</f>
        <v>35270312.839999996</v>
      </c>
      <c r="C11" s="16">
        <f>[1]FY24!F9</f>
        <v>35893222.18</v>
      </c>
      <c r="D11" s="16">
        <f>B11-C11</f>
        <v>-622909.34000000358</v>
      </c>
      <c r="E11" s="17">
        <f>D11/C11</f>
        <v>-1.7354511580938359E-2</v>
      </c>
      <c r="F11" s="18">
        <f>[1]JUL!F11+[1]AUG!B11+[1]SEP!B11+OCT!B11</f>
        <v>142273385.99000001</v>
      </c>
      <c r="G11" s="18">
        <f>[1]FY24!C9+[1]FY24!D9+[1]FY24!E9+[1]FY24!F9</f>
        <v>145129154.89000002</v>
      </c>
      <c r="H11" s="18">
        <f>F11-G11</f>
        <v>-2855768.900000006</v>
      </c>
      <c r="I11" s="17">
        <f>H11/G11</f>
        <v>-1.9677430783390994E-2</v>
      </c>
      <c r="J11" s="5"/>
      <c r="K11" s="5"/>
      <c r="L11" s="5"/>
      <c r="M11" s="18"/>
    </row>
    <row r="12" spans="1:13" x14ac:dyDescent="0.25">
      <c r="A12" s="50" t="s">
        <v>9</v>
      </c>
      <c r="B12" s="16">
        <f>122635685.94+736030.04+70321.25</f>
        <v>123442037.23</v>
      </c>
      <c r="C12" s="16">
        <f>[1]FY24!F10</f>
        <v>125609753.8</v>
      </c>
      <c r="D12" s="16">
        <f>B12-C12</f>
        <v>-2167716.5699999928</v>
      </c>
      <c r="E12" s="17">
        <f>D12/C12</f>
        <v>-1.7257549707895319E-2</v>
      </c>
      <c r="F12" s="18">
        <f>[1]JUL!F12+[1]AUG!B12+[1]SEP!B12+OCT!B12</f>
        <v>497890341.78000003</v>
      </c>
      <c r="G12" s="18">
        <f>[1]FY24!C10+[1]FY24!D10+[1]FY24!E10+[1]FY24!F10</f>
        <v>507857340.61000001</v>
      </c>
      <c r="H12" s="18">
        <f>F12-G12</f>
        <v>-9966998.8299999833</v>
      </c>
      <c r="I12" s="17">
        <f>H12/G12</f>
        <v>-1.9625587803906455E-2</v>
      </c>
      <c r="J12" s="5"/>
      <c r="K12" s="5"/>
      <c r="L12" s="5"/>
      <c r="M12" s="18"/>
    </row>
    <row r="13" spans="1:13" x14ac:dyDescent="0.25">
      <c r="A13" s="50" t="s">
        <v>10</v>
      </c>
      <c r="B13" s="16">
        <v>96987866.320000112</v>
      </c>
      <c r="C13" s="16">
        <f>[1]FY24!F11</f>
        <v>99363243.909999996</v>
      </c>
      <c r="D13" s="16">
        <f>B13-C13</f>
        <v>-2375377.5899998844</v>
      </c>
      <c r="E13" s="17">
        <f>D13/C13</f>
        <v>-2.3905998803253892E-2</v>
      </c>
      <c r="F13" s="18">
        <f>[1]JUL!F13+[1]AUG!B13+[1]SEP!B13+OCT!B13</f>
        <v>390682633.94000012</v>
      </c>
      <c r="G13" s="18">
        <f>[1]FY24!C11+[1]FY24!D11+[1]FY24!E11+[1]FY24!F11</f>
        <v>400340210.54999995</v>
      </c>
      <c r="H13" s="18">
        <f>F13-G13</f>
        <v>-9657576.6099998355</v>
      </c>
      <c r="I13" s="17">
        <f>H13/G13</f>
        <v>-2.4123423916703128E-2</v>
      </c>
      <c r="J13" s="5"/>
      <c r="K13" s="5"/>
      <c r="L13" s="5"/>
      <c r="M13" s="18"/>
    </row>
    <row r="14" spans="1:13" x14ac:dyDescent="0.25">
      <c r="A14" s="5"/>
      <c r="B14" s="12" t="s">
        <v>5</v>
      </c>
      <c r="C14" s="12" t="s">
        <v>5</v>
      </c>
      <c r="D14" s="12" t="s">
        <v>5</v>
      </c>
      <c r="E14" s="13" t="s">
        <v>5</v>
      </c>
      <c r="F14" s="13" t="s">
        <v>5</v>
      </c>
      <c r="G14" s="13" t="s">
        <v>5</v>
      </c>
      <c r="H14" s="13" t="s">
        <v>5</v>
      </c>
      <c r="I14" s="13" t="s">
        <v>5</v>
      </c>
      <c r="J14" s="5"/>
      <c r="K14" s="5"/>
      <c r="L14" s="5"/>
      <c r="M14" s="18"/>
    </row>
    <row r="15" spans="1:13" x14ac:dyDescent="0.25">
      <c r="A15" s="1" t="s">
        <v>11</v>
      </c>
      <c r="B15" s="19">
        <f>SUM(B9:B13)</f>
        <v>581207030.45000005</v>
      </c>
      <c r="C15" s="19">
        <f>SUM(C9:C13)</f>
        <v>596131597.25999999</v>
      </c>
      <c r="D15" s="19">
        <f>SUM(D9:D13)</f>
        <v>-14924566.809999913</v>
      </c>
      <c r="E15" s="20">
        <f>D15/C15</f>
        <v>-2.5035691579841948E-2</v>
      </c>
      <c r="F15" s="21">
        <f>SUM(F9:F13)</f>
        <v>2359604029.4099998</v>
      </c>
      <c r="G15" s="21">
        <f>SUM(G9:G13)</f>
        <v>2404236202.7399998</v>
      </c>
      <c r="H15" s="21">
        <f>SUM(H9:H13)</f>
        <v>-44632173.329999954</v>
      </c>
      <c r="I15" s="20">
        <f>H15/G15</f>
        <v>-1.8563971908889264E-2</v>
      </c>
      <c r="J15" s="1"/>
      <c r="K15" s="5"/>
      <c r="L15" s="5"/>
      <c r="M15" s="5"/>
    </row>
    <row r="16" spans="1:13" x14ac:dyDescent="0.25">
      <c r="A16" s="5"/>
      <c r="B16" s="16"/>
      <c r="C16" s="16"/>
      <c r="D16" s="5"/>
      <c r="E16" s="17"/>
      <c r="F16" s="5"/>
      <c r="G16" s="5"/>
      <c r="H16" s="5"/>
      <c r="I16" s="5"/>
      <c r="J16" s="5"/>
      <c r="K16" s="5"/>
      <c r="L16" s="5"/>
      <c r="M16" s="5"/>
    </row>
    <row r="17" spans="1:13" x14ac:dyDescent="0.25">
      <c r="A17" s="50" t="s">
        <v>12</v>
      </c>
      <c r="B17" s="16">
        <v>0</v>
      </c>
      <c r="C17" s="16">
        <v>0</v>
      </c>
      <c r="D17" s="16">
        <f>B17-C17</f>
        <v>0</v>
      </c>
      <c r="E17" s="17">
        <f>IF(C17=0,0,D17/C17)</f>
        <v>0</v>
      </c>
      <c r="F17" s="18">
        <f>[1]SEP!F17</f>
        <v>108059.78</v>
      </c>
      <c r="G17" s="18">
        <f>[1]FY24!C15+[1]FY24!D15+[1]FY24!E15+[1]FY24!F15</f>
        <v>162389.17000000001</v>
      </c>
      <c r="H17" s="18">
        <f>F17-G17</f>
        <v>-54329.390000000014</v>
      </c>
      <c r="I17" s="17">
        <f>H17/G17</f>
        <v>-0.33456288987744692</v>
      </c>
      <c r="J17" s="5"/>
      <c r="K17" s="5"/>
      <c r="L17" s="5"/>
      <c r="M17" s="18"/>
    </row>
    <row r="18" spans="1:13" x14ac:dyDescent="0.25">
      <c r="A18" s="1" t="s">
        <v>13</v>
      </c>
      <c r="B18" s="16">
        <v>0</v>
      </c>
      <c r="C18" s="16">
        <v>0</v>
      </c>
      <c r="D18" s="16">
        <f>B18-C18</f>
        <v>0</v>
      </c>
      <c r="E18" s="17">
        <f>IF(C18=0,0,D18/C18)</f>
        <v>0</v>
      </c>
      <c r="F18" s="18">
        <f>[1]SEP!F18</f>
        <v>168880719.26999998</v>
      </c>
      <c r="G18" s="18">
        <f>[1]FY24!C16+[1]FY24!D16+[1]FY24!E16+[1]FY24!F16</f>
        <v>156451059.03</v>
      </c>
      <c r="H18" s="18">
        <f>F18-G18</f>
        <v>12429660.23999998</v>
      </c>
      <c r="I18" s="17">
        <f>H18/G18</f>
        <v>7.9447594136237532E-2</v>
      </c>
      <c r="J18" s="5"/>
      <c r="K18" s="5"/>
      <c r="L18" s="5"/>
      <c r="M18" s="18"/>
    </row>
    <row r="19" spans="1:13" x14ac:dyDescent="0.25">
      <c r="A19" s="5"/>
      <c r="B19" s="12" t="s">
        <v>5</v>
      </c>
      <c r="C19" s="12" t="s">
        <v>5</v>
      </c>
      <c r="D19" s="12" t="s">
        <v>5</v>
      </c>
      <c r="E19" s="13" t="s">
        <v>5</v>
      </c>
      <c r="F19" s="13" t="s">
        <v>5</v>
      </c>
      <c r="G19" s="13" t="s">
        <v>5</v>
      </c>
      <c r="H19" s="13" t="s">
        <v>5</v>
      </c>
      <c r="I19" s="13" t="s">
        <v>5</v>
      </c>
      <c r="J19" s="5"/>
      <c r="K19" s="5"/>
      <c r="L19" s="5"/>
      <c r="M19" s="18"/>
    </row>
    <row r="20" spans="1:13" x14ac:dyDescent="0.25">
      <c r="A20" s="1" t="s">
        <v>14</v>
      </c>
      <c r="B20" s="16">
        <f>SUM(B15:B18)</f>
        <v>581207030.45000005</v>
      </c>
      <c r="C20" s="16">
        <f>SUM(C15:C18)</f>
        <v>596131597.25999999</v>
      </c>
      <c r="D20" s="16">
        <f>SUM(D15:D18)</f>
        <v>-14924566.809999913</v>
      </c>
      <c r="E20" s="17">
        <f>D20/C20</f>
        <v>-2.5035691579841948E-2</v>
      </c>
      <c r="F20" s="16">
        <f>SUM(F15:F18)</f>
        <v>2528592808.46</v>
      </c>
      <c r="G20" s="16">
        <f>SUM(G15:G18)</f>
        <v>2560849650.9400001</v>
      </c>
      <c r="H20" s="16">
        <f>SUM(H15:H18)</f>
        <v>-32256842.479999974</v>
      </c>
      <c r="I20" s="17">
        <f>H20/G20</f>
        <v>-1.2596148496324098E-2</v>
      </c>
      <c r="J20" s="5"/>
      <c r="K20" s="5"/>
      <c r="L20" s="5"/>
      <c r="M20" s="18"/>
    </row>
    <row r="21" spans="1:13" x14ac:dyDescent="0.25">
      <c r="A21" s="1"/>
      <c r="B21" s="16"/>
      <c r="C21" s="16"/>
      <c r="D21" s="16"/>
      <c r="E21" s="17"/>
      <c r="F21" s="18"/>
      <c r="G21" s="18"/>
      <c r="H21" s="18"/>
      <c r="I21" s="17"/>
      <c r="J21" s="5"/>
      <c r="K21" s="5"/>
      <c r="L21" s="5"/>
      <c r="M21" s="18"/>
    </row>
    <row r="22" spans="1:1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18"/>
    </row>
    <row r="23" spans="1:13" x14ac:dyDescent="0.25">
      <c r="A23" s="15" t="s">
        <v>77</v>
      </c>
      <c r="B23" s="16"/>
      <c r="C23" s="16"/>
      <c r="D23" s="16"/>
      <c r="E23" s="17"/>
      <c r="F23" s="18"/>
      <c r="G23" s="18"/>
      <c r="H23" s="18"/>
      <c r="I23" s="17"/>
      <c r="J23" s="5"/>
      <c r="K23" s="5"/>
      <c r="L23" s="5"/>
      <c r="M23" s="18"/>
    </row>
    <row r="24" spans="1:13" x14ac:dyDescent="0.25">
      <c r="A24" s="22" t="s">
        <v>42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8"/>
    </row>
    <row r="25" spans="1:13" x14ac:dyDescent="0.25">
      <c r="A25" s="1" t="s">
        <v>17</v>
      </c>
      <c r="B25" s="16">
        <v>10189911.380000001</v>
      </c>
      <c r="C25" s="16">
        <f>[1]FY24!F22</f>
        <v>9866721.3800000008</v>
      </c>
      <c r="D25" s="16">
        <f t="shared" ref="D25:D34" si="0">B25-C25</f>
        <v>323190</v>
      </c>
      <c r="E25" s="17">
        <f>D25/C25</f>
        <v>3.2755561604801288E-2</v>
      </c>
      <c r="F25" s="18">
        <f>[1]JUL!B25+[1]AUG!B25+[1]SEP!B25+OCT!B25</f>
        <v>42195222.640000001</v>
      </c>
      <c r="G25" s="18">
        <f>[1]FY24!C22+[1]FY24!D22+[1]FY24!E22+[1]FY24!F22</f>
        <v>45820262.260000005</v>
      </c>
      <c r="H25" s="18">
        <f t="shared" ref="H25:H34" si="1">F25-G25</f>
        <v>-3625039.6200000048</v>
      </c>
      <c r="I25" s="17">
        <f t="shared" ref="I25:I34" si="2">H25/G25</f>
        <v>-7.9114335911703804E-2</v>
      </c>
      <c r="J25" s="5"/>
      <c r="K25" s="5"/>
      <c r="L25" s="5"/>
      <c r="M25" s="18"/>
    </row>
    <row r="26" spans="1:13" x14ac:dyDescent="0.25">
      <c r="A26" s="1" t="s">
        <v>18</v>
      </c>
      <c r="B26" s="16">
        <v>1327148.3999999999</v>
      </c>
      <c r="C26" s="16">
        <f>[1]FY24!F23</f>
        <v>2878265.56</v>
      </c>
      <c r="D26" s="16">
        <f t="shared" si="0"/>
        <v>-1551117.1600000001</v>
      </c>
      <c r="E26" s="17">
        <f>D26/C26</f>
        <v>-0.53890689641577061</v>
      </c>
      <c r="F26" s="18">
        <f>[1]JUL!B26+[1]AUG!B26+[1]SEP!B26+OCT!B26</f>
        <v>9308511.4000000004</v>
      </c>
      <c r="G26" s="18">
        <f>[1]FY24!C23+[1]FY24!D23+[1]FY24!E23+[1]FY24!F23</f>
        <v>11064487.060000001</v>
      </c>
      <c r="H26" s="18">
        <f t="shared" si="1"/>
        <v>-1755975.6600000001</v>
      </c>
      <c r="I26" s="17">
        <f t="shared" si="2"/>
        <v>-0.15870375648484875</v>
      </c>
      <c r="J26" s="5"/>
      <c r="K26" s="5"/>
      <c r="L26" s="5"/>
      <c r="M26" s="18"/>
    </row>
    <row r="27" spans="1:13" x14ac:dyDescent="0.25">
      <c r="A27" s="1" t="s">
        <v>19</v>
      </c>
      <c r="B27" s="16">
        <f>205425.07-75+41.23+57.89</f>
        <v>205449.19000000003</v>
      </c>
      <c r="C27" s="16">
        <f>[1]FY24!F24</f>
        <v>4776198.97</v>
      </c>
      <c r="D27" s="16">
        <f t="shared" si="0"/>
        <v>-4570749.7799999993</v>
      </c>
      <c r="E27" s="17">
        <f>D27/C27</f>
        <v>-0.95698479244887902</v>
      </c>
      <c r="F27" s="18">
        <f>[1]JUL!B27+[1]AUG!B27+[1]SEP!B27+OCT!B27</f>
        <v>12860186.02</v>
      </c>
      <c r="G27" s="18">
        <f>[1]FY24!C24+[1]FY24!D24+[1]FY24!E24+[1]FY24!F24</f>
        <v>19812465.530000001</v>
      </c>
      <c r="H27" s="18">
        <f t="shared" si="1"/>
        <v>-6952279.5100000016</v>
      </c>
      <c r="I27" s="17">
        <f t="shared" si="2"/>
        <v>-0.35090430817269419</v>
      </c>
      <c r="J27" s="5"/>
      <c r="K27" s="5"/>
      <c r="L27" s="5"/>
      <c r="M27" s="18"/>
    </row>
    <row r="28" spans="1:13" x14ac:dyDescent="0.25">
      <c r="A28" s="1" t="s">
        <v>20</v>
      </c>
      <c r="B28" s="16">
        <v>0</v>
      </c>
      <c r="C28" s="16">
        <f>[1]FY24!F25</f>
        <v>0</v>
      </c>
      <c r="D28" s="16">
        <f t="shared" si="0"/>
        <v>0</v>
      </c>
      <c r="E28" s="17">
        <f>IF(C28=0,0,D28/C28)</f>
        <v>0</v>
      </c>
      <c r="F28" s="18">
        <f>[1]JUL!B28+[1]AUG!B28+[1]SEP!B28+OCT!B28</f>
        <v>143516423.12</v>
      </c>
      <c r="G28" s="18">
        <f>[1]FY24!C25+[1]FY24!D25+[1]FY24!E25+[1]FY24!F25</f>
        <v>140826316.94</v>
      </c>
      <c r="H28" s="18">
        <f t="shared" si="1"/>
        <v>2690106.1800000072</v>
      </c>
      <c r="I28" s="17">
        <f t="shared" si="2"/>
        <v>1.9102297343657329E-2</v>
      </c>
      <c r="J28" s="5"/>
      <c r="K28" s="5"/>
      <c r="L28" s="5"/>
      <c r="M28" s="18"/>
    </row>
    <row r="29" spans="1:13" x14ac:dyDescent="0.25">
      <c r="A29" s="1" t="s">
        <v>21</v>
      </c>
      <c r="B29" s="16">
        <f>43211.46-80.05</f>
        <v>43131.409999999996</v>
      </c>
      <c r="C29" s="16">
        <f>[1]FY24!F26</f>
        <v>210149.22999999998</v>
      </c>
      <c r="D29" s="16">
        <f t="shared" si="0"/>
        <v>-167017.81999999998</v>
      </c>
      <c r="E29" s="17">
        <f>D29/C29</f>
        <v>-0.79475818207851623</v>
      </c>
      <c r="F29" s="18">
        <f>[1]JUL!B29+[1]AUG!B29+[1]SEP!B29+OCT!B29</f>
        <v>686501.13</v>
      </c>
      <c r="G29" s="18">
        <f>[1]FY24!C26+[1]FY24!D26+[1]FY24!E26+[1]FY24!F26</f>
        <v>844170.69</v>
      </c>
      <c r="H29" s="18">
        <f t="shared" si="1"/>
        <v>-157669.55999999994</v>
      </c>
      <c r="I29" s="17">
        <f t="shared" si="2"/>
        <v>-0.18677450173021282</v>
      </c>
      <c r="J29" s="5"/>
      <c r="K29" s="5"/>
      <c r="L29" s="5"/>
      <c r="M29" s="18"/>
    </row>
    <row r="30" spans="1:13" x14ac:dyDescent="0.25">
      <c r="A30" s="1" t="s">
        <v>43</v>
      </c>
      <c r="B30" s="16">
        <v>0</v>
      </c>
      <c r="C30" s="16">
        <f>[1]FY24!F27</f>
        <v>0</v>
      </c>
      <c r="D30" s="16">
        <f t="shared" si="0"/>
        <v>0</v>
      </c>
      <c r="E30" s="17">
        <f>IF(C30=0,0,D30/C30)</f>
        <v>0</v>
      </c>
      <c r="F30" s="18">
        <f>[1]JUL!B30+[1]AUG!B30+[1]SEP!B30+OCT!B30</f>
        <v>23999480.170000002</v>
      </c>
      <c r="G30" s="18">
        <f>[1]FY24!C27+[1]FY24!D27+[1]FY24!E27+[1]FY24!F27</f>
        <v>26612139.02</v>
      </c>
      <c r="H30" s="18">
        <f t="shared" si="1"/>
        <v>-2612658.8499999978</v>
      </c>
      <c r="I30" s="17">
        <f t="shared" si="2"/>
        <v>-9.8175454744035745E-2</v>
      </c>
      <c r="J30" s="5"/>
      <c r="K30" s="5"/>
      <c r="L30" s="5"/>
      <c r="M30" s="18"/>
    </row>
    <row r="31" spans="1:13" x14ac:dyDescent="0.25">
      <c r="A31" s="1" t="s">
        <v>23</v>
      </c>
      <c r="B31" s="16">
        <f>293851.64</f>
        <v>293851.64</v>
      </c>
      <c r="C31" s="16">
        <f>[1]FY24!F28</f>
        <v>13445864.300000001</v>
      </c>
      <c r="D31" s="16">
        <f t="shared" si="0"/>
        <v>-13152012.66</v>
      </c>
      <c r="E31" s="17">
        <f>D31/C31</f>
        <v>-0.97814557447229322</v>
      </c>
      <c r="F31" s="18">
        <f>[1]JUL!B31+[1]AUG!B31+[1]SEP!B31+OCT!B31</f>
        <v>22348170.059999999</v>
      </c>
      <c r="G31" s="18">
        <f>[1]FY24!C28+[1]FY24!D28+[1]FY24!E28+[1]FY24!F28</f>
        <v>42469573.290000007</v>
      </c>
      <c r="H31" s="18">
        <f t="shared" si="1"/>
        <v>-20121403.230000008</v>
      </c>
      <c r="I31" s="17">
        <f t="shared" si="2"/>
        <v>-0.47378397453166415</v>
      </c>
      <c r="J31" s="5"/>
      <c r="K31" s="5"/>
      <c r="L31" s="5"/>
      <c r="M31" s="18"/>
    </row>
    <row r="32" spans="1:13" x14ac:dyDescent="0.25">
      <c r="A32" s="1" t="s">
        <v>24</v>
      </c>
      <c r="B32" s="16">
        <v>0</v>
      </c>
      <c r="C32" s="16">
        <f>[1]FY24!F29</f>
        <v>0</v>
      </c>
      <c r="D32" s="16">
        <f t="shared" si="0"/>
        <v>0</v>
      </c>
      <c r="E32" s="17">
        <f>IF(C32=0,0,D32/C32)</f>
        <v>0</v>
      </c>
      <c r="F32" s="18">
        <f>[1]JUL!B32+[1]AUG!B32+[1]SEP!B32+OCT!B32</f>
        <v>404005</v>
      </c>
      <c r="G32" s="18">
        <f>[1]FY24!C29+[1]FY24!D29+[1]FY24!E29+[1]FY24!F29</f>
        <v>549692.49</v>
      </c>
      <c r="H32" s="18">
        <f t="shared" si="1"/>
        <v>-145687.49</v>
      </c>
      <c r="I32" s="17">
        <f t="shared" si="2"/>
        <v>-0.26503452866892907</v>
      </c>
      <c r="J32" s="5"/>
      <c r="K32" s="5"/>
      <c r="L32" s="5"/>
      <c r="M32" s="18"/>
    </row>
    <row r="33" spans="1:13" x14ac:dyDescent="0.25">
      <c r="A33" s="1" t="s">
        <v>54</v>
      </c>
      <c r="B33" s="16">
        <v>0</v>
      </c>
      <c r="C33" s="16">
        <f>[1]FY24!F30</f>
        <v>0</v>
      </c>
      <c r="D33" s="16">
        <f t="shared" si="0"/>
        <v>0</v>
      </c>
      <c r="E33" s="17">
        <f>IF(C33=0,0,D33/C33)</f>
        <v>0</v>
      </c>
      <c r="F33" s="18">
        <f>[1]JUL!B33+[1]AUG!B33+[1]SEP!B33+OCT!B33</f>
        <v>-24277.759999999998</v>
      </c>
      <c r="G33" s="18">
        <f>[1]FY24!C30+[1]FY24!D30+[1]FY24!E30+[1]FY24!F30</f>
        <v>832480.94</v>
      </c>
      <c r="H33" s="18">
        <f t="shared" si="1"/>
        <v>-856758.7</v>
      </c>
      <c r="I33" s="17">
        <f t="shared" si="2"/>
        <v>-1.029163142161549</v>
      </c>
      <c r="J33" s="5"/>
      <c r="K33" s="5"/>
      <c r="L33" s="5"/>
      <c r="M33" s="18"/>
    </row>
    <row r="34" spans="1:13" x14ac:dyDescent="0.25">
      <c r="A34" s="1" t="s">
        <v>25</v>
      </c>
      <c r="B34" s="16">
        <v>0</v>
      </c>
      <c r="C34" s="16">
        <f>[1]FY24!F31</f>
        <v>0</v>
      </c>
      <c r="D34" s="16">
        <f t="shared" si="0"/>
        <v>0</v>
      </c>
      <c r="E34" s="17">
        <f>IF(C34=0,0,D34/C34)</f>
        <v>0</v>
      </c>
      <c r="F34" s="18">
        <f>[1]JUL!B34+[1]AUG!B34+[1]SEP!B34+OCT!B34</f>
        <v>30561948.210000001</v>
      </c>
      <c r="G34" s="18">
        <f>[1]FY24!C31+[1]FY24!D31+[1]FY24!E31+[1]FY24!F31</f>
        <v>28420652.260000002</v>
      </c>
      <c r="H34" s="18">
        <f t="shared" si="1"/>
        <v>2141295.9499999993</v>
      </c>
      <c r="I34" s="17">
        <f t="shared" si="2"/>
        <v>7.5342955904418751E-2</v>
      </c>
      <c r="J34" s="5"/>
      <c r="K34" s="5"/>
      <c r="L34" s="5"/>
      <c r="M34" s="18"/>
    </row>
    <row r="35" spans="1:13" x14ac:dyDescent="0.25">
      <c r="A35" s="1" t="s">
        <v>26</v>
      </c>
      <c r="B35" s="23" t="s">
        <v>44</v>
      </c>
      <c r="C35" s="23" t="s">
        <v>44</v>
      </c>
      <c r="D35" s="23" t="s">
        <v>45</v>
      </c>
      <c r="E35" s="23" t="s">
        <v>46</v>
      </c>
      <c r="F35" s="23" t="s">
        <v>47</v>
      </c>
      <c r="G35" s="24" t="s">
        <v>48</v>
      </c>
      <c r="H35" s="23" t="s">
        <v>49</v>
      </c>
      <c r="I35" s="23" t="s">
        <v>50</v>
      </c>
      <c r="J35" s="5"/>
      <c r="K35" s="5"/>
      <c r="L35" s="5"/>
      <c r="M35" s="18"/>
    </row>
    <row r="36" spans="1:13" x14ac:dyDescent="0.25">
      <c r="A36" s="1" t="s">
        <v>27</v>
      </c>
      <c r="B36" s="16">
        <f>357753.38+11207.19</f>
        <v>368960.57</v>
      </c>
      <c r="C36" s="16">
        <f>[1]FY24!F33</f>
        <v>3504222.6</v>
      </c>
      <c r="D36" s="16">
        <f t="shared" ref="D36:D41" si="3">B36-C36</f>
        <v>-3135262.0300000003</v>
      </c>
      <c r="E36" s="17">
        <f t="shared" ref="E36:E41" si="4">D36/C36</f>
        <v>-0.894709722493086</v>
      </c>
      <c r="F36" s="18">
        <f>[1]JUL!B36+[1]AUG!B36+[1]SEP!B36+OCT!B36</f>
        <v>8536411.0099999998</v>
      </c>
      <c r="G36" s="18">
        <f>[1]FY24!C33+[1]FY24!D33+[1]FY24!E33+[1]FY24!F33</f>
        <v>11116842.559999999</v>
      </c>
      <c r="H36" s="18">
        <f t="shared" ref="H36:H41" si="5">F36-G36</f>
        <v>-2580431.5499999989</v>
      </c>
      <c r="I36" s="17">
        <f t="shared" ref="I36:I41" si="6">H36/G36</f>
        <v>-0.23211910540900915</v>
      </c>
      <c r="J36" s="5"/>
      <c r="K36" s="5"/>
      <c r="L36" s="5"/>
      <c r="M36" s="18"/>
    </row>
    <row r="37" spans="1:13" x14ac:dyDescent="0.25">
      <c r="A37" s="1" t="s">
        <v>28</v>
      </c>
      <c r="B37" s="16">
        <f>1631124.78</f>
        <v>1631124.78</v>
      </c>
      <c r="C37" s="16">
        <f>[1]FY24!F34</f>
        <v>26711978.759999998</v>
      </c>
      <c r="D37" s="16">
        <f t="shared" si="3"/>
        <v>-25080853.979999997</v>
      </c>
      <c r="E37" s="17">
        <f t="shared" si="4"/>
        <v>-0.93893657992710977</v>
      </c>
      <c r="F37" s="18">
        <f>[1]JUL!B37+[1]AUG!B37+[1]SEP!B37+OCT!B37</f>
        <v>58894996.460000001</v>
      </c>
      <c r="G37" s="18">
        <f>[1]FY24!C34+[1]FY24!D34+[1]FY24!E34+[1]FY24!F34</f>
        <v>80242345.890000015</v>
      </c>
      <c r="H37" s="18">
        <f t="shared" si="5"/>
        <v>-21347349.430000015</v>
      </c>
      <c r="I37" s="17">
        <f t="shared" si="6"/>
        <v>-0.26603595885972681</v>
      </c>
      <c r="J37" s="5"/>
      <c r="K37" s="5"/>
      <c r="L37" s="5"/>
      <c r="M37" s="18"/>
    </row>
    <row r="38" spans="1:13" x14ac:dyDescent="0.25">
      <c r="A38" s="1" t="s">
        <v>29</v>
      </c>
      <c r="B38" s="16">
        <v>302541.90000000002</v>
      </c>
      <c r="C38" s="16">
        <f>[1]FY24!F35</f>
        <v>4344316.1100000003</v>
      </c>
      <c r="D38" s="16">
        <f t="shared" si="3"/>
        <v>-4041774.2100000004</v>
      </c>
      <c r="E38" s="17">
        <f t="shared" si="4"/>
        <v>-0.93035914230467909</v>
      </c>
      <c r="F38" s="18">
        <f>[1]JUL!B38+[1]AUG!B38+[1]SEP!B38+OCT!B38</f>
        <v>11479684.060000001</v>
      </c>
      <c r="G38" s="18">
        <f>[1]FY24!C35+[1]FY24!D35+[1]FY24!E35+[1]FY24!F35</f>
        <v>14718397.550000001</v>
      </c>
      <c r="H38" s="18">
        <f t="shared" si="5"/>
        <v>-3238713.49</v>
      </c>
      <c r="I38" s="17">
        <f t="shared" si="6"/>
        <v>-0.22004525146149487</v>
      </c>
      <c r="J38" s="5"/>
      <c r="K38" s="5"/>
      <c r="L38" s="5"/>
      <c r="M38" s="18"/>
    </row>
    <row r="39" spans="1:13" x14ac:dyDescent="0.25">
      <c r="A39" s="1" t="s">
        <v>30</v>
      </c>
      <c r="B39" s="16">
        <f>1873594.57-150</f>
        <v>1873444.57</v>
      </c>
      <c r="C39" s="16">
        <f>[1]FY24!F36</f>
        <v>3500088.36</v>
      </c>
      <c r="D39" s="16">
        <f t="shared" si="3"/>
        <v>-1626643.7899999998</v>
      </c>
      <c r="E39" s="17">
        <f t="shared" si="4"/>
        <v>-0.46474363578638339</v>
      </c>
      <c r="F39" s="18">
        <f>[1]JUL!B39+[1]AUG!B39+[1]SEP!B39+OCT!B39</f>
        <v>16997524.48</v>
      </c>
      <c r="G39" s="18">
        <f>[1]FY24!C36+[1]FY24!D36+[1]FY24!E36+[1]FY24!F36</f>
        <v>28127742.990000002</v>
      </c>
      <c r="H39" s="18">
        <f t="shared" si="5"/>
        <v>-11130218.510000002</v>
      </c>
      <c r="I39" s="17">
        <f t="shared" si="6"/>
        <v>-0.39570251029231268</v>
      </c>
      <c r="J39" s="5"/>
      <c r="K39" s="5"/>
      <c r="L39" s="5"/>
      <c r="M39" s="18"/>
    </row>
    <row r="40" spans="1:13" x14ac:dyDescent="0.25">
      <c r="A40" s="1" t="s">
        <v>51</v>
      </c>
      <c r="B40" s="16">
        <f>1268735.09</f>
        <v>1268735.0900000001</v>
      </c>
      <c r="C40" s="16">
        <f>[1]FY24!F37</f>
        <v>6265756.8399999999</v>
      </c>
      <c r="D40" s="16">
        <f t="shared" si="3"/>
        <v>-4997021.75</v>
      </c>
      <c r="E40" s="17">
        <f t="shared" si="4"/>
        <v>-0.79751287475752097</v>
      </c>
      <c r="F40" s="18">
        <f>[1]JUL!B40+[1]AUG!B40+[1]SEP!B40+OCT!B40</f>
        <v>21020139.5</v>
      </c>
      <c r="G40" s="18">
        <f>[1]FY24!C37+[1]FY24!D37+[1]FY24!E37+[1]FY24!F37</f>
        <v>25383775.120000001</v>
      </c>
      <c r="H40" s="18">
        <f t="shared" si="5"/>
        <v>-4363635.620000001</v>
      </c>
      <c r="I40" s="17">
        <f t="shared" si="6"/>
        <v>-0.17190648748545961</v>
      </c>
      <c r="J40" s="5"/>
      <c r="K40" s="5"/>
      <c r="L40" s="5"/>
      <c r="M40" s="18"/>
    </row>
    <row r="41" spans="1:13" x14ac:dyDescent="0.25">
      <c r="A41" s="1" t="s">
        <v>32</v>
      </c>
      <c r="B41" s="16">
        <f>685136.89</f>
        <v>685136.89</v>
      </c>
      <c r="C41" s="16">
        <f>[1]FY24!F38</f>
        <v>3713099.08</v>
      </c>
      <c r="D41" s="16">
        <f t="shared" si="3"/>
        <v>-3027962.19</v>
      </c>
      <c r="E41" s="17">
        <f t="shared" si="4"/>
        <v>-0.8154811182684627</v>
      </c>
      <c r="F41" s="18">
        <f>[1]JUL!B41+[1]AUG!B41+[1]SEP!B41+OCT!B41</f>
        <v>9377067.0800000001</v>
      </c>
      <c r="G41" s="18">
        <f>[1]FY24!C38+[1]FY24!D38+[1]FY24!E38+[1]FY24!F38</f>
        <v>15089888.859999999</v>
      </c>
      <c r="H41" s="18">
        <f t="shared" si="5"/>
        <v>-5712821.7799999993</v>
      </c>
      <c r="I41" s="17">
        <f t="shared" si="6"/>
        <v>-0.37858607395999067</v>
      </c>
      <c r="J41" s="5"/>
      <c r="K41" s="5"/>
      <c r="L41" s="5"/>
      <c r="M41" s="18"/>
    </row>
    <row r="42" spans="1:13" x14ac:dyDescent="0.25">
      <c r="A42" s="5"/>
      <c r="B42" s="16"/>
      <c r="C42" s="5"/>
      <c r="D42" s="16"/>
      <c r="E42" s="17"/>
      <c r="F42" s="18"/>
      <c r="G42" s="18"/>
      <c r="H42" s="18"/>
      <c r="I42" s="17"/>
      <c r="J42" s="5"/>
      <c r="K42" s="5"/>
      <c r="L42" s="5"/>
      <c r="M42" s="18"/>
    </row>
    <row r="43" spans="1:13" x14ac:dyDescent="0.25">
      <c r="A43" s="1" t="s">
        <v>33</v>
      </c>
      <c r="B43" s="12" t="s">
        <v>5</v>
      </c>
      <c r="C43" s="12" t="s">
        <v>5</v>
      </c>
      <c r="D43" s="12" t="s">
        <v>5</v>
      </c>
      <c r="E43" s="13" t="s">
        <v>5</v>
      </c>
      <c r="F43" s="13" t="s">
        <v>5</v>
      </c>
      <c r="G43" s="13" t="s">
        <v>5</v>
      </c>
      <c r="H43" s="13" t="s">
        <v>5</v>
      </c>
      <c r="I43" s="13" t="s">
        <v>5</v>
      </c>
      <c r="J43" s="5"/>
      <c r="K43" s="5"/>
      <c r="L43" s="5"/>
      <c r="M43" s="5"/>
    </row>
    <row r="44" spans="1:13" x14ac:dyDescent="0.25">
      <c r="A44" s="5"/>
      <c r="B44" s="16">
        <f>SUM(B25:B41)</f>
        <v>18189435.820000004</v>
      </c>
      <c r="C44" s="16">
        <f>SUM(C25:C41)</f>
        <v>79216661.189999998</v>
      </c>
      <c r="D44" s="16">
        <f>SUM(D25:D41)</f>
        <v>-61027225.369999997</v>
      </c>
      <c r="E44" s="17">
        <f>D44/C44</f>
        <v>-0.77038371036147424</v>
      </c>
      <c r="F44" s="16">
        <f>SUM(F25:F41)</f>
        <v>412161992.57999998</v>
      </c>
      <c r="G44" s="16">
        <f>SUM(G25:G41)</f>
        <v>491931233.45000011</v>
      </c>
      <c r="H44" s="16">
        <f>SUM(H25:H41)</f>
        <v>-79769240.870000035</v>
      </c>
      <c r="I44" s="17">
        <f>H44/G44</f>
        <v>-0.16215526774050174</v>
      </c>
      <c r="J44" s="5"/>
      <c r="K44" s="5"/>
      <c r="L44" s="5"/>
      <c r="M44" s="18"/>
    </row>
    <row r="45" spans="1:13" x14ac:dyDescent="0.25">
      <c r="A45" s="25" t="s">
        <v>34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A46" s="5"/>
      <c r="B46" s="5"/>
      <c r="C46" s="16"/>
      <c r="D46" s="5"/>
      <c r="E46" s="5"/>
      <c r="F46" s="5"/>
      <c r="G46" s="5"/>
      <c r="H46" s="5"/>
      <c r="I46" s="5"/>
      <c r="J46" s="5"/>
      <c r="K46" s="5"/>
      <c r="L46" s="5"/>
      <c r="M46" s="5"/>
    </row>
    <row r="50" spans="2:13" x14ac:dyDescent="0.25">
      <c r="B50" s="16"/>
      <c r="C50" s="16"/>
      <c r="D50" s="16"/>
      <c r="E50" s="5"/>
      <c r="F50" s="18"/>
      <c r="G50" s="18"/>
      <c r="H50" s="18"/>
      <c r="I50" s="5"/>
      <c r="J50" s="5"/>
      <c r="K50" s="5"/>
      <c r="L50" s="5"/>
      <c r="M50" s="14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FY24</vt:lpstr>
      <vt:lpstr>JUL</vt:lpstr>
      <vt:lpstr>AUG</vt:lpstr>
      <vt:lpstr>SEP</vt:lpstr>
      <vt:lpstr>Memo</vt:lpstr>
      <vt:lpstr>OCT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L. Williams</dc:creator>
  <cp:lastModifiedBy>Michael Hoffer</cp:lastModifiedBy>
  <dcterms:created xsi:type="dcterms:W3CDTF">2023-09-26T17:08:17Z</dcterms:created>
  <dcterms:modified xsi:type="dcterms:W3CDTF">2024-12-18T19:40:03Z</dcterms:modified>
</cp:coreProperties>
</file>