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v - DOAS\Local Government Finance\AB 489 - SB 509 Abatements\Abatement Reports\Pro Forma Forecast\March 25,2026 Pro Forma Report\"/>
    </mc:Choice>
  </mc:AlternateContent>
  <xr:revisionPtr revIDLastSave="0" documentId="8_{DD7AFC5F-C00C-430C-AF66-93447C53F417}" xr6:coauthVersionLast="47" xr6:coauthVersionMax="47" xr10:uidLastSave="{00000000-0000-0000-0000-000000000000}"/>
  <bookViews>
    <workbookView xWindow="-28920" yWindow="-285" windowWidth="29040" windowHeight="15720" tabRatio="908" firstSheet="6" activeTab="19" xr2:uid="{00000000-000D-0000-FFFF-FFFF00000000}"/>
  </bookViews>
  <sheets>
    <sheet name="Title" sheetId="1" r:id="rId1"/>
    <sheet name="Index" sheetId="2" r:id="rId2"/>
    <sheet name="Carson City" sheetId="3" r:id="rId3"/>
    <sheet name="Churchill " sheetId="4" r:id="rId4"/>
    <sheet name="Clark" sheetId="5" r:id="rId5"/>
    <sheet name="Douglas" sheetId="6" r:id="rId6"/>
    <sheet name="Elko" sheetId="7" r:id="rId7"/>
    <sheet name="Esmeralda" sheetId="8" r:id="rId8"/>
    <sheet name="Eureka" sheetId="9" r:id="rId9"/>
    <sheet name="Humboldt" sheetId="10" r:id="rId10"/>
    <sheet name="Lander" sheetId="11" r:id="rId11"/>
    <sheet name="Lincoln" sheetId="12" r:id="rId12"/>
    <sheet name="Lyon " sheetId="13" r:id="rId13"/>
    <sheet name="Mineral" sheetId="14" r:id="rId14"/>
    <sheet name="Nye " sheetId="15" r:id="rId15"/>
    <sheet name="Pershing" sheetId="16" r:id="rId16"/>
    <sheet name="Storey" sheetId="17" r:id="rId17"/>
    <sheet name="Washoe" sheetId="18" r:id="rId18"/>
    <sheet name="White Pine" sheetId="19" r:id="rId19"/>
    <sheet name="Statewide Summary" sheetId="20" r:id="rId20"/>
    <sheet name="State 17 Cents" sheetId="21" r:id="rId21"/>
    <sheet name="School Summary" sheetId="22" r:id="rId22"/>
    <sheet name="LEED Abatement Impact" sheetId="25" state="hidden" r:id="rId23"/>
  </sheets>
  <definedNames>
    <definedName name="_xlnm.Print_Area" localSheetId="2">'Carson City'!$A$1:$Q$132</definedName>
    <definedName name="_xlnm.Print_Area" localSheetId="3">'Churchill '!$A$1:$Q$125</definedName>
    <definedName name="_xlnm.Print_Area" localSheetId="4">Clark!$A$1:$Q$624</definedName>
    <definedName name="_xlnm.Print_Area" localSheetId="5">Douglas!$A$1:$Q$424</definedName>
    <definedName name="_xlnm.Print_Area" localSheetId="6">Elko!$A$1:$Q$220</definedName>
    <definedName name="_xlnm.Print_Area" localSheetId="7">Esmeralda!$A$1:$Q$79</definedName>
    <definedName name="_xlnm.Print_Area" localSheetId="8">Eureka!$A$1:$Q$148</definedName>
    <definedName name="_xlnm.Print_Area" localSheetId="9">Humboldt!$A$1:$Q$229</definedName>
    <definedName name="_xlnm.Print_Area" localSheetId="10">Lander!$A$1:$Q$138</definedName>
    <definedName name="_xlnm.Print_Area" localSheetId="22">'LEED Abatement Impact'!$A$1:$E$58</definedName>
    <definedName name="_xlnm.Print_Area" localSheetId="11">Lincoln!$A$1:$Q$232</definedName>
    <definedName name="_xlnm.Print_Area" localSheetId="12">'Lyon '!$A$1:$Q$263</definedName>
    <definedName name="_xlnm.Print_Area" localSheetId="13">Mineral!$A$1:$Q$91</definedName>
    <definedName name="_xlnm.Print_Area" localSheetId="14">'Nye '!$A$1:$Q$268</definedName>
    <definedName name="_xlnm.Print_Area" localSheetId="15">Pershing!$A$1:$Q$122</definedName>
    <definedName name="_xlnm.Print_Area" localSheetId="21">'School Summary'!$A$1:$P$77</definedName>
    <definedName name="_xlnm.Print_Area" localSheetId="19">'Statewide Summary'!$A$1:$R$49</definedName>
    <definedName name="_xlnm.Print_Area" localSheetId="16">Storey!$A$1:$Q$97</definedName>
    <definedName name="_xlnm.Print_Area" localSheetId="0">Title!$A$1:$Q$22</definedName>
    <definedName name="_xlnm.Print_Area" localSheetId="17">Washoe!$A$1:$Q$306</definedName>
    <definedName name="_xlnm.Print_Area" localSheetId="18">'White Pine'!$A$1:$Q$98</definedName>
    <definedName name="_xlnm.Print_Titles" localSheetId="2">'Carson City'!$1:$4</definedName>
    <definedName name="_xlnm.Print_Titles" localSheetId="3">'Churchill '!$1:$4</definedName>
    <definedName name="_xlnm.Print_Titles" localSheetId="4">Clark!$1:$4</definedName>
    <definedName name="_xlnm.Print_Titles" localSheetId="5">Douglas!$1:$4</definedName>
    <definedName name="_xlnm.Print_Titles" localSheetId="6">Elko!$1:$4</definedName>
    <definedName name="_xlnm.Print_Titles" localSheetId="7">Esmeralda!$1:$4</definedName>
    <definedName name="_xlnm.Print_Titles" localSheetId="8">Eureka!$1:$4</definedName>
    <definedName name="_xlnm.Print_Titles" localSheetId="9">Humboldt!$1:$4</definedName>
    <definedName name="_xlnm.Print_Titles" localSheetId="10">Lander!$1:$4</definedName>
    <definedName name="_xlnm.Print_Titles" localSheetId="11">Lincoln!$1:$4</definedName>
    <definedName name="_xlnm.Print_Titles" localSheetId="12">'Lyon '!$1:$4</definedName>
    <definedName name="_xlnm.Print_Titles" localSheetId="13">Mineral!$1:$4</definedName>
    <definedName name="_xlnm.Print_Titles" localSheetId="14">'Nye '!$1:$4</definedName>
    <definedName name="_xlnm.Print_Titles" localSheetId="15">Pershing!$1:$4</definedName>
    <definedName name="_xlnm.Print_Titles" localSheetId="16">Storey!$1:$4</definedName>
    <definedName name="_xlnm.Print_Titles" localSheetId="17">Washoe!$1:$4</definedName>
    <definedName name="_xlnm.Print_Titles" localSheetId="18">'White Pine'!$1:$4</definedName>
    <definedName name="wrn.TAX._.RATES._.97." localSheetId="1" hidden="1">{"CARSONCHURCHILL",#N/A,TRUE,"TAX RATE PUB FY97";"CCCHOVERLAP",#N/A,TRUE,"TAX RATE PUB FY97";"CCCHIMPACT",#N/A,TRUE,"TAX RATE PUB FY97";"CLARK",#N/A,TRUE,"TAX RATE PUB FY97";"CLARKOVERLAP",#N/A,TRUE,"TAX RATE PUB FY97";"CLARKIMPACT",#N/A,TRUE,"TAX RATE PUB FY97";"DOUGLAS",#N/A,TRUE,"TAX RATE PUB FY97";"DOUGLASOVERLAP",#N/A,TRUE,"TAX RATE PUB FY97";"DOUGLASIMPACT",#N/A,TRUE,"TAX RATE PUB FY97";"ELKO",#N/A,TRUE,"TAX RATE PUB FY97";"ELKOOVERLAP",#N/A,TRUE,"TAX RATE PUB FY97";"ELKOIMPACT",#N/A,TRUE,"TAX RATE PUB FY97";"ESMERALDAEUREKA",#N/A,TRUE,"TAX RATE PUB FY97";"EUREKAOVERLAP",#N/A,TRUE,"TAX RATE PUB FY97";"ESEUIMPACT",#N/A,TRUE,"TAX RATE PUB FY97";"HUMBOLDT",#N/A,TRUE,"TAX RATE PUB FY97";"HUMBOLDTOVERLAP",#N/A,TRUE,"TAX RATE PUB FY97";"HUMBOLDTIMPACT",#N/A,TRUE,"TAX RATE PUB FY97";"LANDER",#N/A,TRUE,"TAX RATE PUB FY97";"LANDEROVERLAP",#N/A,TRUE,"TAX RATE PUB FY97";"LANDERIMPACT",#N/A,TRUE,"TAX RATE PUB FY97";"LINCOLN",#N/A,TRUE,"TAX RATE PUB FY97";"LINCOLNOVERLAP",#N/A,TRUE,"TAX RATE PUB FY97";"LYON",#N/A,TRUE,"TAX RATE PUB FY97";"LYONOVERLAP",#N/A,TRUE,"TAX RATE PUB FY97";"LYONIMPACT",#N/A,TRUE,"TAX RATE PUB FY97";"MINERAL",#N/A,TRUE,"TAX RATE PUB FY97";"MINERALIMPACT",#N/A,TRUE,"TAX RATE PUB FY97";"NYE",#N/A,TRUE,"TAX RATE PUB FY97";"NYEOVERLAP",#N/A,TRUE,"TAX RATE PUB FY97";"NYEIMPACT",#N/A,TRUE,"TAX RATE PUB FY97";"PERSHINGSTOREY",#N/A,TRUE,"TAX RATE PUB FY97";"PESTIMPACT",#N/A,TRUE,"TAX RATE PUB FY97";"WASHOE",#N/A,TRUE,"TAX RATE PUB FY97";"WASHOEOVERLAP",#N/A,TRUE,"TAX RATE PUB FY97";"WASHOEIMPACT",#N/A,TRUE,"TAX RATE PUB FY97";"WHITEPINE",#N/A,TRUE,"TAX RATE PUB FY97";"WHITEPINEIMPACT",#N/A,TRUE,"TAX RATE PUB FY97"}</definedName>
    <definedName name="wrn.TAX._.RATES._.97." localSheetId="10" hidden="1">{"CARSONCHURCHILL",#N/A,TRUE,"TAX RATE PUB FY97";"CCCHOVERLAP",#N/A,TRUE,"TAX RATE PUB FY97";"CCCHIMPACT",#N/A,TRUE,"TAX RATE PUB FY97";"CLARK",#N/A,TRUE,"TAX RATE PUB FY97";"CLARKOVERLAP",#N/A,TRUE,"TAX RATE PUB FY97";"CLARKIMPACT",#N/A,TRUE,"TAX RATE PUB FY97";"DOUGLAS",#N/A,TRUE,"TAX RATE PUB FY97";"DOUGLASOVERLAP",#N/A,TRUE,"TAX RATE PUB FY97";"DOUGLASIMPACT",#N/A,TRUE,"TAX RATE PUB FY97";"ELKO",#N/A,TRUE,"TAX RATE PUB FY97";"ELKOOVERLAP",#N/A,TRUE,"TAX RATE PUB FY97";"ELKOIMPACT",#N/A,TRUE,"TAX RATE PUB FY97";"ESMERALDAEUREKA",#N/A,TRUE,"TAX RATE PUB FY97";"EUREKAOVERLAP",#N/A,TRUE,"TAX RATE PUB FY97";"ESEUIMPACT",#N/A,TRUE,"TAX RATE PUB FY97";"HUMBOLDT",#N/A,TRUE,"TAX RATE PUB FY97";"HUMBOLDTOVERLAP",#N/A,TRUE,"TAX RATE PUB FY97";"HUMBOLDTIMPACT",#N/A,TRUE,"TAX RATE PUB FY97";"LANDER",#N/A,TRUE,"TAX RATE PUB FY97";"LANDEROVERLAP",#N/A,TRUE,"TAX RATE PUB FY97";"LANDERIMPACT",#N/A,TRUE,"TAX RATE PUB FY97";"LINCOLN",#N/A,TRUE,"TAX RATE PUB FY97";"LINCOLNOVERLAP",#N/A,TRUE,"TAX RATE PUB FY97";"LYON",#N/A,TRUE,"TAX RATE PUB FY97";"LYONOVERLAP",#N/A,TRUE,"TAX RATE PUB FY97";"LYONIMPACT",#N/A,TRUE,"TAX RATE PUB FY97";"MINERAL",#N/A,TRUE,"TAX RATE PUB FY97";"MINERALIMPACT",#N/A,TRUE,"TAX RATE PUB FY97";"NYE",#N/A,TRUE,"TAX RATE PUB FY97";"NYEOVERLAP",#N/A,TRUE,"TAX RATE PUB FY97";"NYEIMPACT",#N/A,TRUE,"TAX RATE PUB FY97";"PERSHINGSTOREY",#N/A,TRUE,"TAX RATE PUB FY97";"PESTIMPACT",#N/A,TRUE,"TAX RATE PUB FY97";"WASHOE",#N/A,TRUE,"TAX RATE PUB FY97";"WASHOEOVERLAP",#N/A,TRUE,"TAX RATE PUB FY97";"WASHOEIMPACT",#N/A,TRUE,"TAX RATE PUB FY97";"WHITEPINE",#N/A,TRUE,"TAX RATE PUB FY97";"WHITEPINEIMPACT",#N/A,TRUE,"TAX RATE PUB FY97"}</definedName>
    <definedName name="wrn.TAX._.RATES._.97." localSheetId="22" hidden="1">{"CARSONCHURCHILL",#N/A,TRUE,"TAX RATE PUB FY97";"CCCHOVERLAP",#N/A,TRUE,"TAX RATE PUB FY97";"CCCHIMPACT",#N/A,TRUE,"TAX RATE PUB FY97";"CLARK",#N/A,TRUE,"TAX RATE PUB FY97";"CLARKOVERLAP",#N/A,TRUE,"TAX RATE PUB FY97";"CLARKIMPACT",#N/A,TRUE,"TAX RATE PUB FY97";"DOUGLAS",#N/A,TRUE,"TAX RATE PUB FY97";"DOUGLASOVERLAP",#N/A,TRUE,"TAX RATE PUB FY97";"DOUGLASIMPACT",#N/A,TRUE,"TAX RATE PUB FY97";"ELKO",#N/A,TRUE,"TAX RATE PUB FY97";"ELKOOVERLAP",#N/A,TRUE,"TAX RATE PUB FY97";"ELKOIMPACT",#N/A,TRUE,"TAX RATE PUB FY97";"ESMERALDAEUREKA",#N/A,TRUE,"TAX RATE PUB FY97";"EUREKAOVERLAP",#N/A,TRUE,"TAX RATE PUB FY97";"ESEUIMPACT",#N/A,TRUE,"TAX RATE PUB FY97";"HUMBOLDT",#N/A,TRUE,"TAX RATE PUB FY97";"HUMBOLDTOVERLAP",#N/A,TRUE,"TAX RATE PUB FY97";"HUMBOLDTIMPACT",#N/A,TRUE,"TAX RATE PUB FY97";"LANDER",#N/A,TRUE,"TAX RATE PUB FY97";"LANDEROVERLAP",#N/A,TRUE,"TAX RATE PUB FY97";"LANDERIMPACT",#N/A,TRUE,"TAX RATE PUB FY97";"LINCOLN",#N/A,TRUE,"TAX RATE PUB FY97";"LINCOLNOVERLAP",#N/A,TRUE,"TAX RATE PUB FY97";"LYON",#N/A,TRUE,"TAX RATE PUB FY97";"LYONOVERLAP",#N/A,TRUE,"TAX RATE PUB FY97";"LYONIMPACT",#N/A,TRUE,"TAX RATE PUB FY97";"MINERAL",#N/A,TRUE,"TAX RATE PUB FY97";"MINERALIMPACT",#N/A,TRUE,"TAX RATE PUB FY97";"NYE",#N/A,TRUE,"TAX RATE PUB FY97";"NYEOVERLAP",#N/A,TRUE,"TAX RATE PUB FY97";"NYEIMPACT",#N/A,TRUE,"TAX RATE PUB FY97";"PERSHINGSTOREY",#N/A,TRUE,"TAX RATE PUB FY97";"PESTIMPACT",#N/A,TRUE,"TAX RATE PUB FY97";"WASHOE",#N/A,TRUE,"TAX RATE PUB FY97";"WASHOEOVERLAP",#N/A,TRUE,"TAX RATE PUB FY97";"WASHOEIMPACT",#N/A,TRUE,"TAX RATE PUB FY97";"WHITEPINE",#N/A,TRUE,"TAX RATE PUB FY97";"WHITEPINEIMPACT",#N/A,TRUE,"TAX RATE PUB FY97"}</definedName>
    <definedName name="wrn.TAX._.RATES._.97." localSheetId="20" hidden="1">{"CARSONCHURCHILL",#N/A,TRUE,"TAX RATE PUB FY97";"CCCHOVERLAP",#N/A,TRUE,"TAX RATE PUB FY97";"CCCHIMPACT",#N/A,TRUE,"TAX RATE PUB FY97";"CLARK",#N/A,TRUE,"TAX RATE PUB FY97";"CLARKOVERLAP",#N/A,TRUE,"TAX RATE PUB FY97";"CLARKIMPACT",#N/A,TRUE,"TAX RATE PUB FY97";"DOUGLAS",#N/A,TRUE,"TAX RATE PUB FY97";"DOUGLASOVERLAP",#N/A,TRUE,"TAX RATE PUB FY97";"DOUGLASIMPACT",#N/A,TRUE,"TAX RATE PUB FY97";"ELKO",#N/A,TRUE,"TAX RATE PUB FY97";"ELKOOVERLAP",#N/A,TRUE,"TAX RATE PUB FY97";"ELKOIMPACT",#N/A,TRUE,"TAX RATE PUB FY97";"ESMERALDAEUREKA",#N/A,TRUE,"TAX RATE PUB FY97";"EUREKAOVERLAP",#N/A,TRUE,"TAX RATE PUB FY97";"ESEUIMPACT",#N/A,TRUE,"TAX RATE PUB FY97";"HUMBOLDT",#N/A,TRUE,"TAX RATE PUB FY97";"HUMBOLDTOVERLAP",#N/A,TRUE,"TAX RATE PUB FY97";"HUMBOLDTIMPACT",#N/A,TRUE,"TAX RATE PUB FY97";"LANDER",#N/A,TRUE,"TAX RATE PUB FY97";"LANDEROVERLAP",#N/A,TRUE,"TAX RATE PUB FY97";"LANDERIMPACT",#N/A,TRUE,"TAX RATE PUB FY97";"LINCOLN",#N/A,TRUE,"TAX RATE PUB FY97";"LINCOLNOVERLAP",#N/A,TRUE,"TAX RATE PUB FY97";"LYON",#N/A,TRUE,"TAX RATE PUB FY97";"LYONOVERLAP",#N/A,TRUE,"TAX RATE PUB FY97";"LYONIMPACT",#N/A,TRUE,"TAX RATE PUB FY97";"MINERAL",#N/A,TRUE,"TAX RATE PUB FY97";"MINERALIMPACT",#N/A,TRUE,"TAX RATE PUB FY97";"NYE",#N/A,TRUE,"TAX RATE PUB FY97";"NYEOVERLAP",#N/A,TRUE,"TAX RATE PUB FY97";"NYEIMPACT",#N/A,TRUE,"TAX RATE PUB FY97";"PERSHINGSTOREY",#N/A,TRUE,"TAX RATE PUB FY97";"PESTIMPACT",#N/A,TRUE,"TAX RATE PUB FY97";"WASHOE",#N/A,TRUE,"TAX RATE PUB FY97";"WASHOEOVERLAP",#N/A,TRUE,"TAX RATE PUB FY97";"WASHOEIMPACT",#N/A,TRUE,"TAX RATE PUB FY97";"WHITEPINE",#N/A,TRUE,"TAX RATE PUB FY97";"WHITEPINEIMPACT",#N/A,TRUE,"TAX RATE PUB FY97"}</definedName>
    <definedName name="wrn.TAX._.RATES._.97." hidden="1">{"CARSONCHURCHILL",#N/A,TRUE,"TAX RATE PUB FY97";"CCCHOVERLAP",#N/A,TRUE,"TAX RATE PUB FY97";"CCCHIMPACT",#N/A,TRUE,"TAX RATE PUB FY97";"CLARK",#N/A,TRUE,"TAX RATE PUB FY97";"CLARKOVERLAP",#N/A,TRUE,"TAX RATE PUB FY97";"CLARKIMPACT",#N/A,TRUE,"TAX RATE PUB FY97";"DOUGLAS",#N/A,TRUE,"TAX RATE PUB FY97";"DOUGLASOVERLAP",#N/A,TRUE,"TAX RATE PUB FY97";"DOUGLASIMPACT",#N/A,TRUE,"TAX RATE PUB FY97";"ELKO",#N/A,TRUE,"TAX RATE PUB FY97";"ELKOOVERLAP",#N/A,TRUE,"TAX RATE PUB FY97";"ELKOIMPACT",#N/A,TRUE,"TAX RATE PUB FY97";"ESMERALDAEUREKA",#N/A,TRUE,"TAX RATE PUB FY97";"EUREKAOVERLAP",#N/A,TRUE,"TAX RATE PUB FY97";"ESEUIMPACT",#N/A,TRUE,"TAX RATE PUB FY97";"HUMBOLDT",#N/A,TRUE,"TAX RATE PUB FY97";"HUMBOLDTOVERLAP",#N/A,TRUE,"TAX RATE PUB FY97";"HUMBOLDTIMPACT",#N/A,TRUE,"TAX RATE PUB FY97";"LANDER",#N/A,TRUE,"TAX RATE PUB FY97";"LANDEROVERLAP",#N/A,TRUE,"TAX RATE PUB FY97";"LANDERIMPACT",#N/A,TRUE,"TAX RATE PUB FY97";"LINCOLN",#N/A,TRUE,"TAX RATE PUB FY97";"LINCOLNOVERLAP",#N/A,TRUE,"TAX RATE PUB FY97";"LYON",#N/A,TRUE,"TAX RATE PUB FY97";"LYONOVERLAP",#N/A,TRUE,"TAX RATE PUB FY97";"LYONIMPACT",#N/A,TRUE,"TAX RATE PUB FY97";"MINERAL",#N/A,TRUE,"TAX RATE PUB FY97";"MINERALIMPACT",#N/A,TRUE,"TAX RATE PUB FY97";"NYE",#N/A,TRUE,"TAX RATE PUB FY97";"NYEOVERLAP",#N/A,TRUE,"TAX RATE PUB FY97";"NYEIMPACT",#N/A,TRUE,"TAX RATE PUB FY97";"PERSHINGSTOREY",#N/A,TRUE,"TAX RATE PUB FY97";"PESTIMPACT",#N/A,TRUE,"TAX RATE PUB FY97";"WASHOE",#N/A,TRUE,"TAX RATE PUB FY97";"WASHOEOVERLAP",#N/A,TRUE,"TAX RATE PUB FY97";"WASHOEIMPACT",#N/A,TRUE,"TAX RATE PUB FY97";"WHITEPINE",#N/A,TRUE,"TAX RATE PUB FY97";"WHITEPINEIMPACT",#N/A,TRUE,"TAX RATE PUB FY97"}</definedName>
    <definedName name="Z_29306212_F062_4054_8551_2040E0A5AD77_.wvu.PrintArea" localSheetId="2" hidden="1">'Carson City'!$A$1:$F$149</definedName>
    <definedName name="Z_29306212_F062_4054_8551_2040E0A5AD77_.wvu.PrintArea" localSheetId="4" hidden="1">Clark!$A$1:$G$666</definedName>
    <definedName name="Z_29306212_F062_4054_8551_2040E0A5AD77_.wvu.PrintArea" localSheetId="5" hidden="1">Douglas!$A$444:$G$1083</definedName>
    <definedName name="Z_29306212_F062_4054_8551_2040E0A5AD77_.wvu.PrintArea" localSheetId="6" hidden="1">Elko!$A$1:$G$635</definedName>
    <definedName name="Z_29306212_F062_4054_8551_2040E0A5AD77_.wvu.PrintArea" localSheetId="7" hidden="1">Esmeralda!$A$1:$G$412</definedName>
    <definedName name="Z_29306212_F062_4054_8551_2040E0A5AD77_.wvu.PrintArea" localSheetId="8" hidden="1">Eureka!$A$1:$G$327</definedName>
    <definedName name="Z_29306212_F062_4054_8551_2040E0A5AD77_.wvu.PrintArea" localSheetId="9" hidden="1">Humboldt!$A$1:$G$654</definedName>
    <definedName name="Z_29306212_F062_4054_8551_2040E0A5AD77_.wvu.PrintArea" localSheetId="10" hidden="1">Lander!$A$1:$G$849</definedName>
    <definedName name="Z_29306212_F062_4054_8551_2040E0A5AD77_.wvu.PrintArea" localSheetId="12" hidden="1">'Lyon '!$A$1:$G$466</definedName>
    <definedName name="Z_29306212_F062_4054_8551_2040E0A5AD77_.wvu.PrintArea" localSheetId="13" hidden="1">Mineral!$A$1:$G$518</definedName>
    <definedName name="Z_29306212_F062_4054_8551_2040E0A5AD77_.wvu.PrintArea" localSheetId="14" hidden="1">'Nye '!$A$1:$G$471</definedName>
    <definedName name="Z_29306212_F062_4054_8551_2040E0A5AD77_.wvu.PrintArea" localSheetId="15" hidden="1">Pershing!$A$1:$F$133</definedName>
    <definedName name="Z_29306212_F062_4054_8551_2040E0A5AD77_.wvu.PrintArea" localSheetId="16" hidden="1">Storey!$A$1:$G$478</definedName>
    <definedName name="Z_29306212_F062_4054_8551_2040E0A5AD77_.wvu.PrintArea" localSheetId="17" hidden="1">Washoe!$A$1:$G$488</definedName>
    <definedName name="Z_29306212_F062_4054_8551_2040E0A5AD77_.wvu.PrintArea" localSheetId="18" hidden="1">'White Pine'!$A$1:$G$254</definedName>
    <definedName name="Z_29306212_F062_4054_8551_2040E0A5AD77_.wvu.PrintTitles" localSheetId="2" hidden="1">'Carson City'!$1:$3</definedName>
    <definedName name="Z_29306212_F062_4054_8551_2040E0A5AD77_.wvu.PrintTitles" localSheetId="3" hidden="1">'Churchill '!$1:$3</definedName>
    <definedName name="Z_29306212_F062_4054_8551_2040E0A5AD77_.wvu.PrintTitles" localSheetId="4" hidden="1">Clark!$1:$3</definedName>
    <definedName name="Z_29306212_F062_4054_8551_2040E0A5AD77_.wvu.PrintTitles" localSheetId="5" hidden="1">Douglas!$444:$445</definedName>
    <definedName name="Z_29306212_F062_4054_8551_2040E0A5AD77_.wvu.PrintTitles" localSheetId="6" hidden="1">Elko!$1:$3</definedName>
    <definedName name="Z_29306212_F062_4054_8551_2040E0A5AD77_.wvu.PrintTitles" localSheetId="7" hidden="1">Esmeralda!$1:$3</definedName>
    <definedName name="Z_29306212_F062_4054_8551_2040E0A5AD77_.wvu.PrintTitles" localSheetId="8" hidden="1">Eureka!$1:$3</definedName>
    <definedName name="Z_29306212_F062_4054_8551_2040E0A5AD77_.wvu.PrintTitles" localSheetId="9" hidden="1">Humboldt!$1:$3</definedName>
    <definedName name="Z_29306212_F062_4054_8551_2040E0A5AD77_.wvu.PrintTitles" localSheetId="10" hidden="1">Lander!$1:$3</definedName>
    <definedName name="Z_29306212_F062_4054_8551_2040E0A5AD77_.wvu.PrintTitles" localSheetId="12" hidden="1">'Lyon '!$1:$3</definedName>
    <definedName name="Z_29306212_F062_4054_8551_2040E0A5AD77_.wvu.PrintTitles" localSheetId="13" hidden="1">Mineral!$1:$3</definedName>
    <definedName name="Z_29306212_F062_4054_8551_2040E0A5AD77_.wvu.PrintTitles" localSheetId="14" hidden="1">'Nye '!$1:$3</definedName>
    <definedName name="Z_29306212_F062_4054_8551_2040E0A5AD77_.wvu.PrintTitles" localSheetId="15" hidden="1">Pershing!$1:$3</definedName>
    <definedName name="Z_29306212_F062_4054_8551_2040E0A5AD77_.wvu.PrintTitles" localSheetId="20" hidden="1">'State 17 Cents'!$1:$2</definedName>
    <definedName name="Z_29306212_F062_4054_8551_2040E0A5AD77_.wvu.PrintTitles" localSheetId="19" hidden="1">'Statewide Summary'!$1:$2</definedName>
    <definedName name="Z_29306212_F062_4054_8551_2040E0A5AD77_.wvu.PrintTitles" localSheetId="16" hidden="1">Storey!$1:$3</definedName>
    <definedName name="Z_29306212_F062_4054_8551_2040E0A5AD77_.wvu.PrintTitles" localSheetId="17" hidden="1">Washoe!$1:$3</definedName>
    <definedName name="Z_29306212_F062_4054_8551_2040E0A5AD77_.wvu.PrintTitles" localSheetId="18" hidden="1">'White Pine'!$1:$3</definedName>
    <definedName name="Z_3B424742_A0C1_4508_A469_796B5AAAC968_.wvu.PrintArea" localSheetId="2" hidden="1">'Carson City'!$A$1:$F$149</definedName>
    <definedName name="Z_3B424742_A0C1_4508_A469_796B5AAAC968_.wvu.PrintArea" localSheetId="5" hidden="1">Douglas!$A$444:$G$1683</definedName>
    <definedName name="Z_3B424742_A0C1_4508_A469_796B5AAAC968_.wvu.PrintArea" localSheetId="8" hidden="1">Eureka!$A$1:$G$327</definedName>
    <definedName name="Z_3B424742_A0C1_4508_A469_796B5AAAC968_.wvu.PrintArea" localSheetId="10" hidden="1">Lander!$A$1:$G$849</definedName>
    <definedName name="Z_3B424742_A0C1_4508_A469_796B5AAAC968_.wvu.PrintTitles" localSheetId="2" hidden="1">'Carson City'!$1:$3</definedName>
    <definedName name="Z_3B424742_A0C1_4508_A469_796B5AAAC968_.wvu.PrintTitles" localSheetId="5" hidden="1">Douglas!$444:$445</definedName>
    <definedName name="Z_4A739FC0_5E3C_4E9C_BDF4_D78C58D2BB4E_.wvu.Cols" localSheetId="15" hidden="1">Pershing!$T:$V</definedName>
    <definedName name="Z_4A739FC0_5E3C_4E9C_BDF4_D78C58D2BB4E_.wvu.Cols" localSheetId="21" hidden="1">'School Summary'!$S:$U</definedName>
    <definedName name="Z_4A739FC0_5E3C_4E9C_BDF4_D78C58D2BB4E_.wvu.PrintArea" localSheetId="2" hidden="1">'Carson City'!$A$1:$Q$131</definedName>
    <definedName name="Z_4A739FC0_5E3C_4E9C_BDF4_D78C58D2BB4E_.wvu.PrintArea" localSheetId="3" hidden="1">'Churchill '!$A$1:$Q$126</definedName>
    <definedName name="Z_4A739FC0_5E3C_4E9C_BDF4_D78C58D2BB4E_.wvu.PrintArea" localSheetId="4" hidden="1">Clark!$A$1:$Q$627</definedName>
    <definedName name="Z_4A739FC0_5E3C_4E9C_BDF4_D78C58D2BB4E_.wvu.PrintArea" localSheetId="5" hidden="1">Douglas!$A$1:$Q$424</definedName>
    <definedName name="Z_4A739FC0_5E3C_4E9C_BDF4_D78C58D2BB4E_.wvu.PrintArea" localSheetId="6" hidden="1">Elko!$A$1:$Q$204</definedName>
    <definedName name="Z_4A739FC0_5E3C_4E9C_BDF4_D78C58D2BB4E_.wvu.PrintArea" localSheetId="7" hidden="1">Esmeralda!$A$1:$Q$82</definedName>
    <definedName name="Z_4A739FC0_5E3C_4E9C_BDF4_D78C58D2BB4E_.wvu.PrintArea" localSheetId="8" hidden="1">Eureka!$A$1:$Q$150</definedName>
    <definedName name="Z_4A739FC0_5E3C_4E9C_BDF4_D78C58D2BB4E_.wvu.PrintArea" localSheetId="9" hidden="1">Humboldt!$A$1:$Q$231</definedName>
    <definedName name="Z_4A739FC0_5E3C_4E9C_BDF4_D78C58D2BB4E_.wvu.PrintArea" localSheetId="10" hidden="1">Lander!$A$1:$Q$151</definedName>
    <definedName name="Z_4A739FC0_5E3C_4E9C_BDF4_D78C58D2BB4E_.wvu.PrintArea" localSheetId="11" hidden="1">Lincoln!$A$1:$Q$197</definedName>
    <definedName name="Z_4A739FC0_5E3C_4E9C_BDF4_D78C58D2BB4E_.wvu.PrintArea" localSheetId="12" hidden="1">'Lyon '!$A$1:$Q$264</definedName>
    <definedName name="Z_4A739FC0_5E3C_4E9C_BDF4_D78C58D2BB4E_.wvu.PrintArea" localSheetId="13" hidden="1">Mineral!$A$1:$Q$89</definedName>
    <definedName name="Z_4A739FC0_5E3C_4E9C_BDF4_D78C58D2BB4E_.wvu.PrintArea" localSheetId="14" hidden="1">'Nye '!$A$1:$Q$266</definedName>
    <definedName name="Z_4A739FC0_5E3C_4E9C_BDF4_D78C58D2BB4E_.wvu.PrintArea" localSheetId="15" hidden="1">Pershing!$A$1:$Q$120</definedName>
    <definedName name="Z_4A739FC0_5E3C_4E9C_BDF4_D78C58D2BB4E_.wvu.PrintArea" localSheetId="16" hidden="1">Storey!$A$1:$Q$83</definedName>
    <definedName name="Z_4A739FC0_5E3C_4E9C_BDF4_D78C58D2BB4E_.wvu.PrintArea" localSheetId="17" hidden="1">Washoe!$A$1:$Q$305</definedName>
    <definedName name="Z_4A739FC0_5E3C_4E9C_BDF4_D78C58D2BB4E_.wvu.PrintArea" localSheetId="18" hidden="1">'White Pine'!$A$1:$Q$98</definedName>
    <definedName name="Z_4A739FC0_5E3C_4E9C_BDF4_D78C58D2BB4E_.wvu.PrintTitles" localSheetId="2" hidden="1">'Carson City'!$1:$4</definedName>
    <definedName name="Z_4A739FC0_5E3C_4E9C_BDF4_D78C58D2BB4E_.wvu.PrintTitles" localSheetId="3" hidden="1">'Churchill '!$1:$4</definedName>
    <definedName name="Z_4A739FC0_5E3C_4E9C_BDF4_D78C58D2BB4E_.wvu.PrintTitles" localSheetId="4" hidden="1">Clark!$1:$4</definedName>
    <definedName name="Z_4A739FC0_5E3C_4E9C_BDF4_D78C58D2BB4E_.wvu.PrintTitles" localSheetId="5" hidden="1">Douglas!$1:$4</definedName>
    <definedName name="Z_4A739FC0_5E3C_4E9C_BDF4_D78C58D2BB4E_.wvu.PrintTitles" localSheetId="6" hidden="1">Elko!$1:$4</definedName>
    <definedName name="Z_4A739FC0_5E3C_4E9C_BDF4_D78C58D2BB4E_.wvu.PrintTitles" localSheetId="7" hidden="1">Esmeralda!$1:$4</definedName>
    <definedName name="Z_4A739FC0_5E3C_4E9C_BDF4_D78C58D2BB4E_.wvu.PrintTitles" localSheetId="8" hidden="1">Eureka!$1:$4</definedName>
    <definedName name="Z_4A739FC0_5E3C_4E9C_BDF4_D78C58D2BB4E_.wvu.PrintTitles" localSheetId="9" hidden="1">Humboldt!$1:$4</definedName>
    <definedName name="Z_4A739FC0_5E3C_4E9C_BDF4_D78C58D2BB4E_.wvu.PrintTitles" localSheetId="10" hidden="1">Lander!$1:$4</definedName>
    <definedName name="Z_4A739FC0_5E3C_4E9C_BDF4_D78C58D2BB4E_.wvu.PrintTitles" localSheetId="11" hidden="1">Lincoln!$1:$3</definedName>
    <definedName name="Z_4A739FC0_5E3C_4E9C_BDF4_D78C58D2BB4E_.wvu.PrintTitles" localSheetId="12" hidden="1">'Lyon '!$1:$4</definedName>
    <definedName name="Z_4A739FC0_5E3C_4E9C_BDF4_D78C58D2BB4E_.wvu.PrintTitles" localSheetId="13" hidden="1">Mineral!$1:$4</definedName>
    <definedName name="Z_4A739FC0_5E3C_4E9C_BDF4_D78C58D2BB4E_.wvu.PrintTitles" localSheetId="14" hidden="1">'Nye '!$1:$4</definedName>
    <definedName name="Z_4A739FC0_5E3C_4E9C_BDF4_D78C58D2BB4E_.wvu.PrintTitles" localSheetId="15" hidden="1">Pershing!$1:$3</definedName>
    <definedName name="Z_4A739FC0_5E3C_4E9C_BDF4_D78C58D2BB4E_.wvu.PrintTitles" localSheetId="16" hidden="1">Storey!$1:$4</definedName>
    <definedName name="Z_4A739FC0_5E3C_4E9C_BDF4_D78C58D2BB4E_.wvu.PrintTitles" localSheetId="17" hidden="1">Washoe!$1:$4</definedName>
    <definedName name="Z_4A739FC0_5E3C_4E9C_BDF4_D78C58D2BB4E_.wvu.PrintTitles" localSheetId="18" hidden="1">'White Pine'!$1:$4</definedName>
    <definedName name="Z_4A739FC0_5E3C_4E9C_BDF4_D78C58D2BB4E_.wvu.Rows" localSheetId="5" hidden="1">Douglas!$28:$28,Douglas!$182:$193,Douglas!$326:$337</definedName>
    <definedName name="Z_6D150726_128E_463D_B75B_50EAD1A51684_.wvu.Cols" localSheetId="15" hidden="1">Pershing!$T:$V</definedName>
    <definedName name="Z_6D150726_128E_463D_B75B_50EAD1A51684_.wvu.Cols" localSheetId="21" hidden="1">'School Summary'!$S:$U</definedName>
    <definedName name="Z_6D150726_128E_463D_B75B_50EAD1A51684_.wvu.PrintArea" localSheetId="2" hidden="1">'Carson City'!$A$1:$Q$131</definedName>
    <definedName name="Z_6D150726_128E_463D_B75B_50EAD1A51684_.wvu.PrintArea" localSheetId="3" hidden="1">'Churchill '!$A$1:$Q$126</definedName>
    <definedName name="Z_6D150726_128E_463D_B75B_50EAD1A51684_.wvu.PrintArea" localSheetId="4" hidden="1">Clark!$A$1:$Q$627</definedName>
    <definedName name="Z_6D150726_128E_463D_B75B_50EAD1A51684_.wvu.PrintArea" localSheetId="5" hidden="1">Douglas!$A$1:$Q$424</definedName>
    <definedName name="Z_6D150726_128E_463D_B75B_50EAD1A51684_.wvu.PrintArea" localSheetId="6" hidden="1">Elko!$A$1:$Q$204</definedName>
    <definedName name="Z_6D150726_128E_463D_B75B_50EAD1A51684_.wvu.PrintArea" localSheetId="7" hidden="1">Esmeralda!$A$1:$Q$82</definedName>
    <definedName name="Z_6D150726_128E_463D_B75B_50EAD1A51684_.wvu.PrintArea" localSheetId="8" hidden="1">Eureka!$A$1:$Q$150</definedName>
    <definedName name="Z_6D150726_128E_463D_B75B_50EAD1A51684_.wvu.PrintArea" localSheetId="9" hidden="1">Humboldt!$A$1:$Q$231</definedName>
    <definedName name="Z_6D150726_128E_463D_B75B_50EAD1A51684_.wvu.PrintArea" localSheetId="10" hidden="1">Lander!$A$1:$Q$151</definedName>
    <definedName name="Z_6D150726_128E_463D_B75B_50EAD1A51684_.wvu.PrintArea" localSheetId="11" hidden="1">Lincoln!$A$1:$Q$197</definedName>
    <definedName name="Z_6D150726_128E_463D_B75B_50EAD1A51684_.wvu.PrintArea" localSheetId="12" hidden="1">'Lyon '!$A$1:$Q$264</definedName>
    <definedName name="Z_6D150726_128E_463D_B75B_50EAD1A51684_.wvu.PrintArea" localSheetId="13" hidden="1">Mineral!$A$1:$Q$89</definedName>
    <definedName name="Z_6D150726_128E_463D_B75B_50EAD1A51684_.wvu.PrintArea" localSheetId="14" hidden="1">'Nye '!$A$1:$Q$266</definedName>
    <definedName name="Z_6D150726_128E_463D_B75B_50EAD1A51684_.wvu.PrintArea" localSheetId="15" hidden="1">Pershing!$A$1:$Q$120</definedName>
    <definedName name="Z_6D150726_128E_463D_B75B_50EAD1A51684_.wvu.PrintArea" localSheetId="16" hidden="1">Storey!$A$1:$Q$83</definedName>
    <definedName name="Z_6D150726_128E_463D_B75B_50EAD1A51684_.wvu.PrintArea" localSheetId="17" hidden="1">Washoe!$A$1:$Q$305</definedName>
    <definedName name="Z_6D150726_128E_463D_B75B_50EAD1A51684_.wvu.PrintArea" localSheetId="18" hidden="1">'White Pine'!$A$1:$Q$98</definedName>
    <definedName name="Z_6D150726_128E_463D_B75B_50EAD1A51684_.wvu.PrintTitles" localSheetId="2" hidden="1">'Carson City'!$1:$4</definedName>
    <definedName name="Z_6D150726_128E_463D_B75B_50EAD1A51684_.wvu.PrintTitles" localSheetId="3" hidden="1">'Churchill '!$1:$4</definedName>
    <definedName name="Z_6D150726_128E_463D_B75B_50EAD1A51684_.wvu.PrintTitles" localSheetId="4" hidden="1">Clark!$1:$4</definedName>
    <definedName name="Z_6D150726_128E_463D_B75B_50EAD1A51684_.wvu.PrintTitles" localSheetId="5" hidden="1">Douglas!$1:$4</definedName>
    <definedName name="Z_6D150726_128E_463D_B75B_50EAD1A51684_.wvu.PrintTitles" localSheetId="6" hidden="1">Elko!$1:$4</definedName>
    <definedName name="Z_6D150726_128E_463D_B75B_50EAD1A51684_.wvu.PrintTitles" localSheetId="7" hidden="1">Esmeralda!$1:$4</definedName>
    <definedName name="Z_6D150726_128E_463D_B75B_50EAD1A51684_.wvu.PrintTitles" localSheetId="8" hidden="1">Eureka!$1:$4</definedName>
    <definedName name="Z_6D150726_128E_463D_B75B_50EAD1A51684_.wvu.PrintTitles" localSheetId="9" hidden="1">Humboldt!$1:$4</definedName>
    <definedName name="Z_6D150726_128E_463D_B75B_50EAD1A51684_.wvu.PrintTitles" localSheetId="10" hidden="1">Lander!$1:$4</definedName>
    <definedName name="Z_6D150726_128E_463D_B75B_50EAD1A51684_.wvu.PrintTitles" localSheetId="11" hidden="1">Lincoln!$1:$3</definedName>
    <definedName name="Z_6D150726_128E_463D_B75B_50EAD1A51684_.wvu.PrintTitles" localSheetId="12" hidden="1">'Lyon '!$1:$4</definedName>
    <definedName name="Z_6D150726_128E_463D_B75B_50EAD1A51684_.wvu.PrintTitles" localSheetId="13" hidden="1">Mineral!$1:$4</definedName>
    <definedName name="Z_6D150726_128E_463D_B75B_50EAD1A51684_.wvu.PrintTitles" localSheetId="14" hidden="1">'Nye '!$1:$4</definedName>
    <definedName name="Z_6D150726_128E_463D_B75B_50EAD1A51684_.wvu.PrintTitles" localSheetId="15" hidden="1">Pershing!$1:$3</definedName>
    <definedName name="Z_6D150726_128E_463D_B75B_50EAD1A51684_.wvu.PrintTitles" localSheetId="16" hidden="1">Storey!$1:$4</definedName>
    <definedName name="Z_6D150726_128E_463D_B75B_50EAD1A51684_.wvu.PrintTitles" localSheetId="17" hidden="1">Washoe!$1:$4</definedName>
    <definedName name="Z_6D150726_128E_463D_B75B_50EAD1A51684_.wvu.PrintTitles" localSheetId="18" hidden="1">'White Pine'!$1:$4</definedName>
    <definedName name="Z_6D150726_128E_463D_B75B_50EAD1A51684_.wvu.Rows" localSheetId="5" hidden="1">Douglas!$28:$28,Douglas!$182:$193,Douglas!$326:$337</definedName>
    <definedName name="Z_762C7261_7DAD_41E0_8B67_2352960CCD67_.wvu.Cols" localSheetId="15" hidden="1">Pershing!$T:$V</definedName>
    <definedName name="Z_762C7261_7DAD_41E0_8B67_2352960CCD67_.wvu.Cols" localSheetId="21" hidden="1">'School Summary'!$S:$U</definedName>
    <definedName name="Z_762C7261_7DAD_41E0_8B67_2352960CCD67_.wvu.PrintArea" localSheetId="2" hidden="1">'Carson City'!$A$1:$Q$131</definedName>
    <definedName name="Z_762C7261_7DAD_41E0_8B67_2352960CCD67_.wvu.PrintArea" localSheetId="3" hidden="1">'Churchill '!$A$1:$Q$126</definedName>
    <definedName name="Z_762C7261_7DAD_41E0_8B67_2352960CCD67_.wvu.PrintArea" localSheetId="4" hidden="1">Clark!$A$1:$Q$627</definedName>
    <definedName name="Z_762C7261_7DAD_41E0_8B67_2352960CCD67_.wvu.PrintArea" localSheetId="5" hidden="1">Douglas!$A$1:$Q$424</definedName>
    <definedName name="Z_762C7261_7DAD_41E0_8B67_2352960CCD67_.wvu.PrintArea" localSheetId="6" hidden="1">Elko!$A$1:$Q$204</definedName>
    <definedName name="Z_762C7261_7DAD_41E0_8B67_2352960CCD67_.wvu.PrintArea" localSheetId="7" hidden="1">Esmeralda!$A$1:$Q$82</definedName>
    <definedName name="Z_762C7261_7DAD_41E0_8B67_2352960CCD67_.wvu.PrintArea" localSheetId="8" hidden="1">Eureka!$A$1:$Q$150</definedName>
    <definedName name="Z_762C7261_7DAD_41E0_8B67_2352960CCD67_.wvu.PrintArea" localSheetId="9" hidden="1">Humboldt!$A$1:$Q$231</definedName>
    <definedName name="Z_762C7261_7DAD_41E0_8B67_2352960CCD67_.wvu.PrintArea" localSheetId="10" hidden="1">Lander!$A$1:$Q$151</definedName>
    <definedName name="Z_762C7261_7DAD_41E0_8B67_2352960CCD67_.wvu.PrintArea" localSheetId="11" hidden="1">Lincoln!$A$1:$Q$197</definedName>
    <definedName name="Z_762C7261_7DAD_41E0_8B67_2352960CCD67_.wvu.PrintArea" localSheetId="12" hidden="1">'Lyon '!$A$1:$Q$264</definedName>
    <definedName name="Z_762C7261_7DAD_41E0_8B67_2352960CCD67_.wvu.PrintArea" localSheetId="13" hidden="1">Mineral!$A$1:$Q$89</definedName>
    <definedName name="Z_762C7261_7DAD_41E0_8B67_2352960CCD67_.wvu.PrintArea" localSheetId="14" hidden="1">'Nye '!$A$1:$Q$266</definedName>
    <definedName name="Z_762C7261_7DAD_41E0_8B67_2352960CCD67_.wvu.PrintArea" localSheetId="15" hidden="1">Pershing!$A$1:$Q$120</definedName>
    <definedName name="Z_762C7261_7DAD_41E0_8B67_2352960CCD67_.wvu.PrintArea" localSheetId="16" hidden="1">Storey!$A$1:$Q$83</definedName>
    <definedName name="Z_762C7261_7DAD_41E0_8B67_2352960CCD67_.wvu.PrintArea" localSheetId="17" hidden="1">Washoe!$A$1:$Q$305</definedName>
    <definedName name="Z_762C7261_7DAD_41E0_8B67_2352960CCD67_.wvu.PrintArea" localSheetId="18" hidden="1">'White Pine'!$A$1:$Q$98</definedName>
    <definedName name="Z_762C7261_7DAD_41E0_8B67_2352960CCD67_.wvu.PrintTitles" localSheetId="2" hidden="1">'Carson City'!$1:$4</definedName>
    <definedName name="Z_762C7261_7DAD_41E0_8B67_2352960CCD67_.wvu.PrintTitles" localSheetId="3" hidden="1">'Churchill '!$1:$4</definedName>
    <definedName name="Z_762C7261_7DAD_41E0_8B67_2352960CCD67_.wvu.PrintTitles" localSheetId="4" hidden="1">Clark!$1:$4</definedName>
    <definedName name="Z_762C7261_7DAD_41E0_8B67_2352960CCD67_.wvu.PrintTitles" localSheetId="5" hidden="1">Douglas!$1:$4</definedName>
    <definedName name="Z_762C7261_7DAD_41E0_8B67_2352960CCD67_.wvu.PrintTitles" localSheetId="6" hidden="1">Elko!$1:$4</definedName>
    <definedName name="Z_762C7261_7DAD_41E0_8B67_2352960CCD67_.wvu.PrintTitles" localSheetId="7" hidden="1">Esmeralda!$1:$4</definedName>
    <definedName name="Z_762C7261_7DAD_41E0_8B67_2352960CCD67_.wvu.PrintTitles" localSheetId="8" hidden="1">Eureka!$1:$4</definedName>
    <definedName name="Z_762C7261_7DAD_41E0_8B67_2352960CCD67_.wvu.PrintTitles" localSheetId="9" hidden="1">Humboldt!$1:$4</definedName>
    <definedName name="Z_762C7261_7DAD_41E0_8B67_2352960CCD67_.wvu.PrintTitles" localSheetId="10" hidden="1">Lander!$1:$4</definedName>
    <definedName name="Z_762C7261_7DAD_41E0_8B67_2352960CCD67_.wvu.PrintTitles" localSheetId="11" hidden="1">Lincoln!$1:$3</definedName>
    <definedName name="Z_762C7261_7DAD_41E0_8B67_2352960CCD67_.wvu.PrintTitles" localSheetId="12" hidden="1">'Lyon '!$1:$4</definedName>
    <definedName name="Z_762C7261_7DAD_41E0_8B67_2352960CCD67_.wvu.PrintTitles" localSheetId="13" hidden="1">Mineral!$1:$4</definedName>
    <definedName name="Z_762C7261_7DAD_41E0_8B67_2352960CCD67_.wvu.PrintTitles" localSheetId="14" hidden="1">'Nye '!$1:$4</definedName>
    <definedName name="Z_762C7261_7DAD_41E0_8B67_2352960CCD67_.wvu.PrintTitles" localSheetId="15" hidden="1">Pershing!$1:$3</definedName>
    <definedName name="Z_762C7261_7DAD_41E0_8B67_2352960CCD67_.wvu.PrintTitles" localSheetId="16" hidden="1">Storey!$1:$4</definedName>
    <definedName name="Z_762C7261_7DAD_41E0_8B67_2352960CCD67_.wvu.PrintTitles" localSheetId="17" hidden="1">Washoe!$1:$4</definedName>
    <definedName name="Z_762C7261_7DAD_41E0_8B67_2352960CCD67_.wvu.PrintTitles" localSheetId="18" hidden="1">'White Pine'!$1:$4</definedName>
    <definedName name="Z_762C7261_7DAD_41E0_8B67_2352960CCD67_.wvu.Rows" localSheetId="5" hidden="1">Douglas!$28:$28,Douglas!$182:$193,Douglas!$326:$337</definedName>
    <definedName name="Z_9AD5A17A_02E4_4A1C_AD0E_C9E091955561_.wvu.PrintArea" localSheetId="2" hidden="1">'Carson City'!$A$1:$F$149</definedName>
    <definedName name="Z_9AD5A17A_02E4_4A1C_AD0E_C9E091955561_.wvu.PrintArea" localSheetId="4" hidden="1">Clark!$A$1:$G$666</definedName>
    <definedName name="Z_9AD5A17A_02E4_4A1C_AD0E_C9E091955561_.wvu.PrintArea" localSheetId="5" hidden="1">Douglas!$A$444:$G$1083</definedName>
    <definedName name="Z_9AD5A17A_02E4_4A1C_AD0E_C9E091955561_.wvu.PrintArea" localSheetId="6" hidden="1">Elko!$A$1:$G$635</definedName>
    <definedName name="Z_9AD5A17A_02E4_4A1C_AD0E_C9E091955561_.wvu.PrintArea" localSheetId="7" hidden="1">Esmeralda!$A$1:$G$412</definedName>
    <definedName name="Z_9AD5A17A_02E4_4A1C_AD0E_C9E091955561_.wvu.PrintArea" localSheetId="8" hidden="1">Eureka!$A$1:$G$327</definedName>
    <definedName name="Z_9AD5A17A_02E4_4A1C_AD0E_C9E091955561_.wvu.PrintArea" localSheetId="9" hidden="1">Humboldt!$A$1:$G$654</definedName>
    <definedName name="Z_9AD5A17A_02E4_4A1C_AD0E_C9E091955561_.wvu.PrintArea" localSheetId="10" hidden="1">Lander!$A$1:$G$849</definedName>
    <definedName name="Z_9AD5A17A_02E4_4A1C_AD0E_C9E091955561_.wvu.PrintArea" localSheetId="12" hidden="1">'Lyon '!$A$1:$G$466</definedName>
    <definedName name="Z_9AD5A17A_02E4_4A1C_AD0E_C9E091955561_.wvu.PrintArea" localSheetId="13" hidden="1">Mineral!$A$1:$G$518</definedName>
    <definedName name="Z_9AD5A17A_02E4_4A1C_AD0E_C9E091955561_.wvu.PrintArea" localSheetId="14" hidden="1">'Nye '!$A$1:$G$471</definedName>
    <definedName name="Z_9AD5A17A_02E4_4A1C_AD0E_C9E091955561_.wvu.PrintArea" localSheetId="15" hidden="1">Pershing!$A$1:$F$133</definedName>
    <definedName name="Z_9AD5A17A_02E4_4A1C_AD0E_C9E091955561_.wvu.PrintArea" localSheetId="16" hidden="1">Storey!$A$1:$G$478</definedName>
    <definedName name="Z_9AD5A17A_02E4_4A1C_AD0E_C9E091955561_.wvu.PrintArea" localSheetId="17" hidden="1">Washoe!$A$1:$G$488</definedName>
    <definedName name="Z_9AD5A17A_02E4_4A1C_AD0E_C9E091955561_.wvu.PrintArea" localSheetId="18" hidden="1">'White Pine'!$A$1:$G$254</definedName>
    <definedName name="Z_9AD5A17A_02E4_4A1C_AD0E_C9E091955561_.wvu.PrintTitles" localSheetId="2" hidden="1">'Carson City'!$1:$3</definedName>
    <definedName name="Z_9AD5A17A_02E4_4A1C_AD0E_C9E091955561_.wvu.PrintTitles" localSheetId="3" hidden="1">'Churchill '!$1:$3</definedName>
    <definedName name="Z_9AD5A17A_02E4_4A1C_AD0E_C9E091955561_.wvu.PrintTitles" localSheetId="4" hidden="1">Clark!$1:$3</definedName>
    <definedName name="Z_9AD5A17A_02E4_4A1C_AD0E_C9E091955561_.wvu.PrintTitles" localSheetId="5" hidden="1">Douglas!$444:$445</definedName>
    <definedName name="Z_9AD5A17A_02E4_4A1C_AD0E_C9E091955561_.wvu.PrintTitles" localSheetId="6" hidden="1">Elko!$1:$3</definedName>
    <definedName name="Z_9AD5A17A_02E4_4A1C_AD0E_C9E091955561_.wvu.PrintTitles" localSheetId="7" hidden="1">Esmeralda!$1:$3</definedName>
    <definedName name="Z_9AD5A17A_02E4_4A1C_AD0E_C9E091955561_.wvu.PrintTitles" localSheetId="8" hidden="1">Eureka!$1:$3</definedName>
    <definedName name="Z_9AD5A17A_02E4_4A1C_AD0E_C9E091955561_.wvu.PrintTitles" localSheetId="9" hidden="1">Humboldt!$1:$3</definedName>
    <definedName name="Z_9AD5A17A_02E4_4A1C_AD0E_C9E091955561_.wvu.PrintTitles" localSheetId="10" hidden="1">Lander!$1:$3</definedName>
    <definedName name="Z_9AD5A17A_02E4_4A1C_AD0E_C9E091955561_.wvu.PrintTitles" localSheetId="12" hidden="1">'Lyon '!$1:$3</definedName>
    <definedName name="Z_9AD5A17A_02E4_4A1C_AD0E_C9E091955561_.wvu.PrintTitles" localSheetId="13" hidden="1">Mineral!$1:$3</definedName>
    <definedName name="Z_9AD5A17A_02E4_4A1C_AD0E_C9E091955561_.wvu.PrintTitles" localSheetId="14" hidden="1">'Nye '!$1:$3</definedName>
    <definedName name="Z_9AD5A17A_02E4_4A1C_AD0E_C9E091955561_.wvu.PrintTitles" localSheetId="15" hidden="1">Pershing!$1:$3</definedName>
    <definedName name="Z_9AD5A17A_02E4_4A1C_AD0E_C9E091955561_.wvu.PrintTitles" localSheetId="20" hidden="1">'State 17 Cents'!$1:$2</definedName>
    <definedName name="Z_9AD5A17A_02E4_4A1C_AD0E_C9E091955561_.wvu.PrintTitles" localSheetId="19" hidden="1">'Statewide Summary'!$1:$2</definedName>
    <definedName name="Z_9AD5A17A_02E4_4A1C_AD0E_C9E091955561_.wvu.PrintTitles" localSheetId="16" hidden="1">Storey!$1:$3</definedName>
    <definedName name="Z_9AD5A17A_02E4_4A1C_AD0E_C9E091955561_.wvu.PrintTitles" localSheetId="17" hidden="1">Washoe!$1:$3</definedName>
    <definedName name="Z_9AD5A17A_02E4_4A1C_AD0E_C9E091955561_.wvu.PrintTitles" localSheetId="18" hidden="1">'White Pine'!$1:$3</definedName>
    <definedName name="Z_AE6F0488_1842_4C89_B05F_A836B633FB8F_.wvu.Cols" localSheetId="2" hidden="1">'Carson City'!$P:$P</definedName>
    <definedName name="Z_AE6F0488_1842_4C89_B05F_A836B633FB8F_.wvu.Cols" localSheetId="3" hidden="1">'Churchill '!$P:$P</definedName>
    <definedName name="Z_AE6F0488_1842_4C89_B05F_A836B633FB8F_.wvu.Cols" localSheetId="4" hidden="1">Clark!$B:$E,Clark!$P:$P</definedName>
    <definedName name="Z_AE6F0488_1842_4C89_B05F_A836B633FB8F_.wvu.Cols" localSheetId="5" hidden="1">Douglas!$B:$E,Douglas!$P:$P</definedName>
    <definedName name="Z_AE6F0488_1842_4C89_B05F_A836B633FB8F_.wvu.Cols" localSheetId="6" hidden="1">Elko!$B:$E</definedName>
    <definedName name="Z_AE6F0488_1842_4C89_B05F_A836B633FB8F_.wvu.Cols" localSheetId="7" hidden="1">Esmeralda!$B:$E</definedName>
    <definedName name="Z_AE6F0488_1842_4C89_B05F_A836B633FB8F_.wvu.Cols" localSheetId="8" hidden="1">Eureka!$B:$E</definedName>
    <definedName name="Z_AE6F0488_1842_4C89_B05F_A836B633FB8F_.wvu.Cols" localSheetId="9" hidden="1">Humboldt!$B:$E</definedName>
    <definedName name="Z_AE6F0488_1842_4C89_B05F_A836B633FB8F_.wvu.Cols" localSheetId="10" hidden="1">Lander!$B:$E</definedName>
    <definedName name="Z_AE6F0488_1842_4C89_B05F_A836B633FB8F_.wvu.Cols" localSheetId="11" hidden="1">Lincoln!$B:$E</definedName>
    <definedName name="Z_AE6F0488_1842_4C89_B05F_A836B633FB8F_.wvu.Cols" localSheetId="12" hidden="1">'Lyon '!$B:$E</definedName>
    <definedName name="Z_AE6F0488_1842_4C89_B05F_A836B633FB8F_.wvu.Cols" localSheetId="13" hidden="1">Mineral!$B:$E</definedName>
    <definedName name="Z_AE6F0488_1842_4C89_B05F_A836B633FB8F_.wvu.Cols" localSheetId="14" hidden="1">'Nye '!$B:$E</definedName>
    <definedName name="Z_AE6F0488_1842_4C89_B05F_A836B633FB8F_.wvu.Cols" localSheetId="15" hidden="1">Pershing!$B:$E</definedName>
    <definedName name="Z_AE6F0488_1842_4C89_B05F_A836B633FB8F_.wvu.Cols" localSheetId="16" hidden="1">Storey!$B:$E</definedName>
    <definedName name="Z_AE6F0488_1842_4C89_B05F_A836B633FB8F_.wvu.Cols" localSheetId="17" hidden="1">Washoe!$B:$E,Washoe!$P:$P</definedName>
    <definedName name="Z_AE6F0488_1842_4C89_B05F_A836B633FB8F_.wvu.Cols" localSheetId="18" hidden="1">'White Pine'!$B:$E</definedName>
    <definedName name="Z_ED67B211_37E0_4337_A31A_CC6493F6064B_.wvu.PrintArea" localSheetId="8" hidden="1">Eureka!$A$1:$G$327</definedName>
    <definedName name="Z_FA63795C_EC4C_4AAB_B1D6_AA5370DAC04D_.wvu.Cols" localSheetId="15" hidden="1">Pershing!$T:$V</definedName>
    <definedName name="Z_FA63795C_EC4C_4AAB_B1D6_AA5370DAC04D_.wvu.Cols" localSheetId="21" hidden="1">'School Summary'!$S:$U</definedName>
    <definedName name="Z_FA63795C_EC4C_4AAB_B1D6_AA5370DAC04D_.wvu.PrintArea" localSheetId="2" hidden="1">'Carson City'!$A$1:$Q$131</definedName>
    <definedName name="Z_FA63795C_EC4C_4AAB_B1D6_AA5370DAC04D_.wvu.PrintArea" localSheetId="3" hidden="1">'Churchill '!$A$1:$Q$126</definedName>
    <definedName name="Z_FA63795C_EC4C_4AAB_B1D6_AA5370DAC04D_.wvu.PrintArea" localSheetId="4" hidden="1">Clark!$A$1:$Q$627</definedName>
    <definedName name="Z_FA63795C_EC4C_4AAB_B1D6_AA5370DAC04D_.wvu.PrintArea" localSheetId="5" hidden="1">Douglas!$A$1:$Q$424</definedName>
    <definedName name="Z_FA63795C_EC4C_4AAB_B1D6_AA5370DAC04D_.wvu.PrintArea" localSheetId="6" hidden="1">Elko!$A$1:$Q$204</definedName>
    <definedName name="Z_FA63795C_EC4C_4AAB_B1D6_AA5370DAC04D_.wvu.PrintArea" localSheetId="7" hidden="1">Esmeralda!$A$1:$Q$82</definedName>
    <definedName name="Z_FA63795C_EC4C_4AAB_B1D6_AA5370DAC04D_.wvu.PrintArea" localSheetId="8" hidden="1">Eureka!$A$1:$Q$150</definedName>
    <definedName name="Z_FA63795C_EC4C_4AAB_B1D6_AA5370DAC04D_.wvu.PrintArea" localSheetId="9" hidden="1">Humboldt!$A$1:$Q$231</definedName>
    <definedName name="Z_FA63795C_EC4C_4AAB_B1D6_AA5370DAC04D_.wvu.PrintArea" localSheetId="10" hidden="1">Lander!$A$1:$Q$151</definedName>
    <definedName name="Z_FA63795C_EC4C_4AAB_B1D6_AA5370DAC04D_.wvu.PrintArea" localSheetId="11" hidden="1">Lincoln!$A$1:$Q$197</definedName>
    <definedName name="Z_FA63795C_EC4C_4AAB_B1D6_AA5370DAC04D_.wvu.PrintArea" localSheetId="12" hidden="1">'Lyon '!$A$1:$Q$264</definedName>
    <definedName name="Z_FA63795C_EC4C_4AAB_B1D6_AA5370DAC04D_.wvu.PrintArea" localSheetId="13" hidden="1">Mineral!$A$1:$Q$89</definedName>
    <definedName name="Z_FA63795C_EC4C_4AAB_B1D6_AA5370DAC04D_.wvu.PrintArea" localSheetId="14" hidden="1">'Nye '!$A$1:$Q$266</definedName>
    <definedName name="Z_FA63795C_EC4C_4AAB_B1D6_AA5370DAC04D_.wvu.PrintArea" localSheetId="15" hidden="1">Pershing!$A$1:$Q$120</definedName>
    <definedName name="Z_FA63795C_EC4C_4AAB_B1D6_AA5370DAC04D_.wvu.PrintArea" localSheetId="16" hidden="1">Storey!$A$1:$Q$83</definedName>
    <definedName name="Z_FA63795C_EC4C_4AAB_B1D6_AA5370DAC04D_.wvu.PrintArea" localSheetId="17" hidden="1">Washoe!$A$1:$Q$305</definedName>
    <definedName name="Z_FA63795C_EC4C_4AAB_B1D6_AA5370DAC04D_.wvu.PrintArea" localSheetId="18" hidden="1">'White Pine'!$A$1:$Q$98</definedName>
    <definedName name="Z_FA63795C_EC4C_4AAB_B1D6_AA5370DAC04D_.wvu.PrintTitles" localSheetId="2" hidden="1">'Carson City'!$1:$4</definedName>
    <definedName name="Z_FA63795C_EC4C_4AAB_B1D6_AA5370DAC04D_.wvu.PrintTitles" localSheetId="3" hidden="1">'Churchill '!$1:$4</definedName>
    <definedName name="Z_FA63795C_EC4C_4AAB_B1D6_AA5370DAC04D_.wvu.PrintTitles" localSheetId="4" hidden="1">Clark!$1:$4</definedName>
    <definedName name="Z_FA63795C_EC4C_4AAB_B1D6_AA5370DAC04D_.wvu.PrintTitles" localSheetId="5" hidden="1">Douglas!$1:$4</definedName>
    <definedName name="Z_FA63795C_EC4C_4AAB_B1D6_AA5370DAC04D_.wvu.PrintTitles" localSheetId="6" hidden="1">Elko!$1:$4</definedName>
    <definedName name="Z_FA63795C_EC4C_4AAB_B1D6_AA5370DAC04D_.wvu.PrintTitles" localSheetId="7" hidden="1">Esmeralda!$1:$4</definedName>
    <definedName name="Z_FA63795C_EC4C_4AAB_B1D6_AA5370DAC04D_.wvu.PrintTitles" localSheetId="8" hidden="1">Eureka!$1:$4</definedName>
    <definedName name="Z_FA63795C_EC4C_4AAB_B1D6_AA5370DAC04D_.wvu.PrintTitles" localSheetId="9" hidden="1">Humboldt!$1:$4</definedName>
    <definedName name="Z_FA63795C_EC4C_4AAB_B1D6_AA5370DAC04D_.wvu.PrintTitles" localSheetId="10" hidden="1">Lander!$1:$4</definedName>
    <definedName name="Z_FA63795C_EC4C_4AAB_B1D6_AA5370DAC04D_.wvu.PrintTitles" localSheetId="11" hidden="1">Lincoln!$1:$3</definedName>
    <definedName name="Z_FA63795C_EC4C_4AAB_B1D6_AA5370DAC04D_.wvu.PrintTitles" localSheetId="12" hidden="1">'Lyon '!$1:$4</definedName>
    <definedName name="Z_FA63795C_EC4C_4AAB_B1D6_AA5370DAC04D_.wvu.PrintTitles" localSheetId="13" hidden="1">Mineral!$1:$4</definedName>
    <definedName name="Z_FA63795C_EC4C_4AAB_B1D6_AA5370DAC04D_.wvu.PrintTitles" localSheetId="14" hidden="1">'Nye '!$1:$4</definedName>
    <definedName name="Z_FA63795C_EC4C_4AAB_B1D6_AA5370DAC04D_.wvu.PrintTitles" localSheetId="15" hidden="1">Pershing!$1:$3</definedName>
    <definedName name="Z_FA63795C_EC4C_4AAB_B1D6_AA5370DAC04D_.wvu.PrintTitles" localSheetId="16" hidden="1">Storey!$1:$4</definedName>
    <definedName name="Z_FA63795C_EC4C_4AAB_B1D6_AA5370DAC04D_.wvu.PrintTitles" localSheetId="17" hidden="1">Washoe!$1:$4</definedName>
    <definedName name="Z_FA63795C_EC4C_4AAB_B1D6_AA5370DAC04D_.wvu.PrintTitles" localSheetId="18" hidden="1">'White Pine'!$1:$4</definedName>
    <definedName name="Z_FA63795C_EC4C_4AAB_B1D6_AA5370DAC04D_.wvu.Rows" localSheetId="5" hidden="1">Douglas!$28:$28,Douglas!$182:$193,Douglas!$326:$337</definedName>
  </definedNames>
  <calcPr calcId="191029"/>
  <customWorkbookViews>
    <customWorkbookView name="Department of Taxation - Personal View" guid="{AE6F0488-1842-4C89-B05F-A836B633FB8F}" mergeInterval="0" personalView="1" maximized="1" windowWidth="1020" windowHeight="579" tabRatio="764" activeSheetId="4"/>
    <customWorkbookView name="tomg - Personal View" guid="{7CE6F7F4-8D8F-4334-ACEE-5BD88E482B05}" mergeInterval="0" personalView="1" maximized="1" windowWidth="1148" windowHeight="665" tabRatio="764" activeSheetId="18"/>
    <customWorkbookView name="Lori Williams - Personal View" guid="{6D150726-128E-463D-B75B-50EAD1A51684}" mergeInterval="0" personalView="1" maximized="1" windowWidth="1020" windowHeight="605" tabRatio="764" activeSheetId="10"/>
    <customWorkbookView name="warna - Personal View" guid="{762C7261-7DAD-41E0-8B67-2352960CCD67}" mergeInterval="0" personalView="1" maximized="1" windowWidth="1020" windowHeight="605" tabRatio="764" activeSheetId="7"/>
    <customWorkbookView name="susal - Personal View" guid="{FA63795C-EC4C-4AAB-B1D6-AA5370DAC04D}" mergeInterval="0" personalView="1" maximized="1" windowWidth="1020" windowHeight="605" tabRatio="764" activeSheetId="13"/>
    <customWorkbookView name="heidd - Personal View" guid="{4A739FC0-5E3C-4E9C-BDF4-D78C58D2BB4E}" mergeInterval="0" personalView="1" maximized="1" windowWidth="1020" windowHeight="592" tabRatio="76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0" l="1"/>
  <c r="D23" i="20"/>
  <c r="E17" i="17"/>
  <c r="E19" i="16"/>
  <c r="F18" i="19"/>
  <c r="P56" i="15"/>
  <c r="P55" i="15"/>
  <c r="P54" i="15"/>
  <c r="P53" i="15"/>
  <c r="P52" i="15"/>
  <c r="P51" i="15"/>
  <c r="P50" i="15"/>
  <c r="P49" i="15"/>
  <c r="P48" i="15"/>
  <c r="P47" i="15"/>
  <c r="P46" i="15"/>
  <c r="P45" i="15"/>
  <c r="P44" i="15"/>
  <c r="P43" i="15"/>
  <c r="L34" i="14"/>
  <c r="E259" i="15"/>
  <c r="E17" i="19"/>
  <c r="E78" i="18"/>
  <c r="E52" i="13"/>
  <c r="F69" i="8"/>
  <c r="M119" i="5" l="1"/>
  <c r="H119" i="5"/>
  <c r="M107" i="5"/>
  <c r="H107" i="5"/>
  <c r="G76" i="3"/>
  <c r="G64" i="3"/>
  <c r="L65" i="19" l="1"/>
  <c r="P77" i="19"/>
  <c r="H77" i="19"/>
  <c r="G77" i="19"/>
  <c r="P65" i="19"/>
  <c r="H65" i="19"/>
  <c r="G65" i="19"/>
  <c r="O95" i="18" l="1"/>
  <c r="M95" i="18"/>
  <c r="H95" i="18"/>
  <c r="G95" i="18"/>
  <c r="O83" i="18"/>
  <c r="M83" i="18"/>
  <c r="H83" i="18"/>
  <c r="G83" i="18"/>
  <c r="M75" i="17"/>
  <c r="H75" i="17"/>
  <c r="G75" i="17"/>
  <c r="M63" i="17"/>
  <c r="H63" i="17"/>
  <c r="G63" i="17"/>
  <c r="M80" i="16"/>
  <c r="H80" i="16"/>
  <c r="G80" i="16"/>
  <c r="M68" i="16"/>
  <c r="H68" i="16"/>
  <c r="G68" i="16"/>
  <c r="P94" i="15"/>
  <c r="H94" i="15"/>
  <c r="G94" i="15"/>
  <c r="P82" i="15"/>
  <c r="H82" i="15"/>
  <c r="G82" i="15"/>
  <c r="H73" i="14"/>
  <c r="G73" i="14"/>
  <c r="H61" i="14"/>
  <c r="G61" i="14"/>
  <c r="I70" i="14"/>
  <c r="H70" i="14"/>
  <c r="M88" i="13"/>
  <c r="H88" i="13"/>
  <c r="G88" i="13"/>
  <c r="M76" i="13"/>
  <c r="H76" i="13"/>
  <c r="G76" i="13"/>
  <c r="P86" i="12" l="1"/>
  <c r="P93" i="12"/>
  <c r="M93" i="12"/>
  <c r="H93" i="12"/>
  <c r="G93" i="12"/>
  <c r="P81" i="12"/>
  <c r="M81" i="12"/>
  <c r="H81" i="12"/>
  <c r="G81" i="12"/>
  <c r="M91" i="10"/>
  <c r="H91" i="10"/>
  <c r="G91" i="10"/>
  <c r="M79" i="10"/>
  <c r="H79" i="10"/>
  <c r="G79" i="10"/>
  <c r="O103" i="6"/>
  <c r="H103" i="6"/>
  <c r="G103" i="6"/>
  <c r="O91" i="6"/>
  <c r="H91" i="6"/>
  <c r="G91" i="6"/>
  <c r="S76" i="19" l="1"/>
  <c r="P76" i="19"/>
  <c r="M76" i="19"/>
  <c r="J76" i="19"/>
  <c r="H76" i="19"/>
  <c r="G76" i="19"/>
  <c r="L76" i="19" s="1"/>
  <c r="N76" i="19" s="1"/>
  <c r="Q76" i="19" s="1"/>
  <c r="P64" i="19"/>
  <c r="M64" i="19"/>
  <c r="J64" i="19"/>
  <c r="H64" i="19"/>
  <c r="G64" i="19"/>
  <c r="S94" i="18"/>
  <c r="P94" i="18"/>
  <c r="O94" i="18"/>
  <c r="M94" i="18"/>
  <c r="J94" i="18"/>
  <c r="H94" i="18"/>
  <c r="L94" i="18" s="1"/>
  <c r="N94" i="18" s="1"/>
  <c r="Q94" i="18" s="1"/>
  <c r="G94" i="18"/>
  <c r="L108" i="18"/>
  <c r="N108" i="18" s="1"/>
  <c r="Q108" i="18" s="1"/>
  <c r="P82" i="18"/>
  <c r="O82" i="18"/>
  <c r="M82" i="18"/>
  <c r="J82" i="18"/>
  <c r="H82" i="18"/>
  <c r="G82" i="18"/>
  <c r="S74" i="17"/>
  <c r="M74" i="17"/>
  <c r="J74" i="17"/>
  <c r="H74" i="17"/>
  <c r="G74" i="17"/>
  <c r="L74" i="17" s="1"/>
  <c r="N74" i="17" s="1"/>
  <c r="Q74" i="17" s="1"/>
  <c r="M62" i="17"/>
  <c r="J62" i="17"/>
  <c r="H62" i="17"/>
  <c r="G62" i="17"/>
  <c r="S79" i="16"/>
  <c r="P79" i="16"/>
  <c r="M79" i="16"/>
  <c r="J79" i="16"/>
  <c r="H79" i="16"/>
  <c r="G79" i="16"/>
  <c r="L79" i="16" s="1"/>
  <c r="N79" i="16" s="1"/>
  <c r="Q79" i="16" s="1"/>
  <c r="P67" i="16"/>
  <c r="M67" i="16"/>
  <c r="J67" i="16"/>
  <c r="H67" i="16"/>
  <c r="G67" i="16"/>
  <c r="S93" i="15"/>
  <c r="P93" i="15"/>
  <c r="M93" i="15"/>
  <c r="J93" i="15"/>
  <c r="H93" i="15"/>
  <c r="G93" i="15"/>
  <c r="L93" i="15" s="1"/>
  <c r="N93" i="15" s="1"/>
  <c r="Q93" i="15" s="1"/>
  <c r="P81" i="15"/>
  <c r="M81" i="15"/>
  <c r="J81" i="15"/>
  <c r="H81" i="15"/>
  <c r="G81" i="15"/>
  <c r="S72" i="14"/>
  <c r="P72" i="14"/>
  <c r="M72" i="14"/>
  <c r="J72" i="14"/>
  <c r="H72" i="14"/>
  <c r="G72" i="14"/>
  <c r="L72" i="14" s="1"/>
  <c r="N72" i="14" s="1"/>
  <c r="Q72" i="14" s="1"/>
  <c r="P60" i="14"/>
  <c r="M60" i="14"/>
  <c r="J60" i="14"/>
  <c r="H60" i="14"/>
  <c r="G60" i="14"/>
  <c r="S87" i="13"/>
  <c r="P87" i="13"/>
  <c r="M87" i="13"/>
  <c r="J87" i="13"/>
  <c r="L87" i="13" s="1"/>
  <c r="N87" i="13" s="1"/>
  <c r="Q87" i="13" s="1"/>
  <c r="H87" i="13"/>
  <c r="G87" i="13"/>
  <c r="P75" i="13"/>
  <c r="M75" i="13"/>
  <c r="J75" i="13"/>
  <c r="H75" i="13"/>
  <c r="G75" i="13"/>
  <c r="P80" i="12"/>
  <c r="P92" i="12"/>
  <c r="M92" i="12"/>
  <c r="J92" i="12"/>
  <c r="H92" i="12"/>
  <c r="G92" i="12"/>
  <c r="L92" i="12" s="1"/>
  <c r="N92" i="12" s="1"/>
  <c r="Q92" i="12" s="1"/>
  <c r="M80" i="12"/>
  <c r="J80" i="12"/>
  <c r="H80" i="12"/>
  <c r="G80" i="12"/>
  <c r="M90" i="10"/>
  <c r="J90" i="10"/>
  <c r="I90" i="10"/>
  <c r="H90" i="10"/>
  <c r="G90" i="10"/>
  <c r="L90" i="10" s="1"/>
  <c r="N90" i="10" s="1"/>
  <c r="Q90" i="10" s="1"/>
  <c r="M78" i="10"/>
  <c r="J78" i="10"/>
  <c r="H78" i="10"/>
  <c r="G78" i="10"/>
  <c r="M102" i="6"/>
  <c r="J102" i="6"/>
  <c r="H102" i="6"/>
  <c r="G102" i="6"/>
  <c r="L102" i="6" s="1"/>
  <c r="N102" i="6" s="1"/>
  <c r="Q102" i="6" s="1"/>
  <c r="M90" i="6"/>
  <c r="J90" i="6"/>
  <c r="H90" i="6"/>
  <c r="G90" i="6"/>
  <c r="P119" i="5"/>
  <c r="O119" i="5"/>
  <c r="G119" i="5"/>
  <c r="L119" i="5" s="1"/>
  <c r="N119" i="5" s="1"/>
  <c r="Q119" i="5" s="1"/>
  <c r="P118" i="5"/>
  <c r="O118" i="5"/>
  <c r="M118" i="5"/>
  <c r="J118" i="5"/>
  <c r="H118" i="5"/>
  <c r="L118" i="5" s="1"/>
  <c r="N118" i="5" s="1"/>
  <c r="Q118" i="5" s="1"/>
  <c r="S118" i="5" s="1"/>
  <c r="G118" i="5"/>
  <c r="P107" i="5"/>
  <c r="P106" i="5"/>
  <c r="O107" i="5"/>
  <c r="O106" i="5"/>
  <c r="M106" i="5"/>
  <c r="J106" i="5"/>
  <c r="H106" i="5"/>
  <c r="G107" i="5"/>
  <c r="G106" i="5"/>
  <c r="S75" i="3"/>
  <c r="H76" i="3"/>
  <c r="L76" i="3" s="1"/>
  <c r="N76" i="3" s="1"/>
  <c r="Q76" i="3" s="1"/>
  <c r="O75" i="3"/>
  <c r="M75" i="3"/>
  <c r="J75" i="3"/>
  <c r="H75" i="3"/>
  <c r="G75" i="3"/>
  <c r="L75" i="3" s="1"/>
  <c r="N75" i="3" s="1"/>
  <c r="Q75" i="3" s="1"/>
  <c r="O63" i="3"/>
  <c r="M63" i="3"/>
  <c r="J63" i="3"/>
  <c r="H64" i="3"/>
  <c r="H63" i="3"/>
  <c r="G63" i="3"/>
  <c r="P79" i="4"/>
  <c r="P67" i="4"/>
  <c r="M80" i="4"/>
  <c r="I80" i="4"/>
  <c r="H80" i="4"/>
  <c r="G80" i="4"/>
  <c r="L80" i="4" s="1"/>
  <c r="N80" i="4" s="1"/>
  <c r="Q80" i="4" s="1"/>
  <c r="M79" i="4"/>
  <c r="J79" i="4"/>
  <c r="H79" i="4"/>
  <c r="G79" i="4"/>
  <c r="L79" i="4" s="1"/>
  <c r="N79" i="4" s="1"/>
  <c r="Q79" i="4" s="1"/>
  <c r="B79" i="4"/>
  <c r="B67" i="4"/>
  <c r="M68" i="4"/>
  <c r="H68" i="4"/>
  <c r="G68" i="4"/>
  <c r="M67" i="4"/>
  <c r="J67" i="4"/>
  <c r="H67" i="4"/>
  <c r="G67" i="4"/>
  <c r="L70" i="14"/>
  <c r="C19" i="14"/>
  <c r="C20" i="14" s="1"/>
  <c r="C21" i="14" s="1"/>
  <c r="C22" i="14" s="1"/>
  <c r="C18" i="14"/>
  <c r="L64" i="19" l="1"/>
  <c r="C42" i="10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41" i="10"/>
  <c r="I78" i="10"/>
  <c r="L143" i="9"/>
  <c r="L183" i="5"/>
  <c r="N48" i="4"/>
  <c r="Q48" i="4" s="1"/>
  <c r="B59" i="18" l="1"/>
  <c r="L52" i="18" l="1"/>
  <c r="L54" i="18"/>
  <c r="N54" i="18" s="1"/>
  <c r="Q54" i="18" s="1"/>
  <c r="L49" i="18"/>
  <c r="N49" i="18" s="1"/>
  <c r="Q49" i="18" s="1"/>
  <c r="L116" i="18"/>
  <c r="N116" i="18" s="1"/>
  <c r="Q116" i="18" s="1"/>
  <c r="E116" i="18"/>
  <c r="E104" i="18"/>
  <c r="B34" i="10"/>
  <c r="M140" i="5" l="1"/>
  <c r="J140" i="5"/>
  <c r="H140" i="5"/>
  <c r="G140" i="5"/>
  <c r="L59" i="5"/>
  <c r="N59" i="5" s="1"/>
  <c r="Q59" i="5" s="1"/>
  <c r="E59" i="5"/>
  <c r="E600" i="5"/>
  <c r="D571" i="5"/>
  <c r="N552" i="5"/>
  <c r="Q552" i="5" s="1"/>
  <c r="L552" i="5"/>
  <c r="E114" i="5"/>
  <c r="N36" i="17" l="1"/>
  <c r="N35" i="17"/>
  <c r="L36" i="17"/>
  <c r="L35" i="17"/>
  <c r="N210" i="12"/>
  <c r="Q210" i="12" s="1"/>
  <c r="L210" i="12"/>
  <c r="E210" i="12"/>
  <c r="L35" i="8"/>
  <c r="N35" i="8" s="1"/>
  <c r="Q35" i="8" s="1"/>
  <c r="B18" i="14" l="1"/>
  <c r="B70" i="11"/>
  <c r="J37" i="8" l="1"/>
  <c r="I37" i="8"/>
  <c r="H37" i="8"/>
  <c r="G37" i="8"/>
  <c r="F37" i="8"/>
  <c r="B23" i="8"/>
  <c r="B37" i="8"/>
  <c r="T35" i="8" s="1"/>
  <c r="N112" i="6" l="1"/>
  <c r="L63" i="18"/>
  <c r="N63" i="18" s="1"/>
  <c r="Q63" i="18" s="1"/>
  <c r="E247" i="15"/>
  <c r="B104" i="15"/>
  <c r="E217" i="13"/>
  <c r="B98" i="13"/>
  <c r="B99" i="13"/>
  <c r="B101" i="13"/>
  <c r="B102" i="13"/>
  <c r="B104" i="13"/>
  <c r="L592" i="5"/>
  <c r="L364" i="5"/>
  <c r="L102" i="13" l="1"/>
  <c r="F55" i="16"/>
  <c r="F68" i="12"/>
  <c r="L71" i="13"/>
  <c r="N71" i="13" s="1"/>
  <c r="Q71" i="13" s="1"/>
  <c r="I56" i="6"/>
  <c r="I57" i="6"/>
  <c r="I58" i="6"/>
  <c r="I59" i="6"/>
  <c r="I60" i="6"/>
  <c r="I61" i="6"/>
  <c r="I62" i="6"/>
  <c r="I63" i="6"/>
  <c r="I64" i="6"/>
  <c r="I65" i="6"/>
  <c r="E388" i="6"/>
  <c r="E412" i="6"/>
  <c r="E20" i="3"/>
  <c r="T218" i="7"/>
  <c r="T22" i="7"/>
  <c r="J183" i="18"/>
  <c r="G89" i="25" l="1"/>
  <c r="F89" i="25"/>
  <c r="E89" i="25"/>
  <c r="D89" i="25"/>
  <c r="C89" i="25"/>
  <c r="B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E9" i="25"/>
  <c r="E16" i="25"/>
  <c r="E10" i="25"/>
  <c r="C11" i="25"/>
  <c r="D11" i="25"/>
  <c r="D19" i="25"/>
  <c r="C19" i="25"/>
  <c r="D17" i="25"/>
  <c r="C17" i="25"/>
  <c r="H89" i="25" l="1"/>
  <c r="B90" i="10"/>
  <c r="E56" i="8"/>
  <c r="B102" i="6" l="1"/>
  <c r="B75" i="3" l="1"/>
  <c r="L258" i="13"/>
  <c r="N258" i="13" s="1"/>
  <c r="L357" i="6" l="1"/>
  <c r="N357" i="6" s="1"/>
  <c r="B76" i="19"/>
  <c r="C94" i="18"/>
  <c r="B94" i="18"/>
  <c r="C74" i="17"/>
  <c r="B74" i="17"/>
  <c r="C79" i="16"/>
  <c r="B79" i="16"/>
  <c r="C93" i="15"/>
  <c r="B93" i="15"/>
  <c r="C72" i="14"/>
  <c r="B72" i="14"/>
  <c r="C87" i="13"/>
  <c r="B87" i="13"/>
  <c r="C92" i="12"/>
  <c r="B92" i="12"/>
  <c r="C90" i="10"/>
  <c r="C102" i="6"/>
  <c r="C118" i="5"/>
  <c r="C75" i="3"/>
  <c r="L35" i="18" l="1"/>
  <c r="N35" i="18" s="1"/>
  <c r="Q35" i="18" s="1"/>
  <c r="C35" i="18"/>
  <c r="B35" i="18"/>
  <c r="L113" i="13"/>
  <c r="L101" i="13"/>
  <c r="N101" i="13" s="1"/>
  <c r="Q101" i="13" s="1"/>
  <c r="C101" i="13"/>
  <c r="L56" i="13"/>
  <c r="N56" i="13" s="1"/>
  <c r="Q56" i="13" s="1"/>
  <c r="L140" i="10"/>
  <c r="N140" i="10" s="1"/>
  <c r="Q140" i="10" s="1"/>
  <c r="C140" i="10"/>
  <c r="B140" i="10"/>
  <c r="L356" i="6"/>
  <c r="L243" i="5"/>
  <c r="N243" i="5" s="1"/>
  <c r="Q243" i="5" s="1"/>
  <c r="C243" i="5"/>
  <c r="L568" i="5"/>
  <c r="N568" i="5" s="1"/>
  <c r="Q568" i="5" s="1"/>
  <c r="C568" i="5"/>
  <c r="L472" i="5"/>
  <c r="N472" i="5" s="1"/>
  <c r="Q472" i="5" s="1"/>
  <c r="C472" i="5"/>
  <c r="L327" i="5"/>
  <c r="N327" i="5" s="1"/>
  <c r="Q327" i="5" s="1"/>
  <c r="C327" i="5"/>
  <c r="B327" i="5"/>
  <c r="I44" i="3" l="1"/>
  <c r="L63" i="3"/>
  <c r="N63" i="3" s="1"/>
  <c r="Q63" i="3" s="1"/>
  <c r="L128" i="5" l="1"/>
  <c r="C40" i="15"/>
  <c r="I19" i="16"/>
  <c r="I101" i="16"/>
  <c r="I75" i="16"/>
  <c r="I89" i="16"/>
  <c r="I63" i="16"/>
  <c r="I42" i="16"/>
  <c r="I41" i="16"/>
  <c r="I40" i="16"/>
  <c r="I39" i="16"/>
  <c r="I38" i="16"/>
  <c r="I37" i="16"/>
  <c r="I36" i="16"/>
  <c r="I35" i="16"/>
  <c r="I34" i="16"/>
  <c r="I33" i="16"/>
  <c r="I32" i="16"/>
  <c r="D100" i="11"/>
  <c r="L193" i="13" l="1"/>
  <c r="N193" i="13" s="1"/>
  <c r="E193" i="13"/>
  <c r="N52" i="18"/>
  <c r="L162" i="12"/>
  <c r="N162" i="12" s="1"/>
  <c r="Q162" i="12" s="1"/>
  <c r="E162" i="12"/>
  <c r="L198" i="12"/>
  <c r="N198" i="12" s="1"/>
  <c r="Q198" i="12" s="1"/>
  <c r="E232" i="6"/>
  <c r="L232" i="6"/>
  <c r="N232" i="6" s="1"/>
  <c r="Q232" i="6" s="1"/>
  <c r="G55" i="7"/>
  <c r="E55" i="7" s="1"/>
  <c r="H55" i="7"/>
  <c r="J55" i="7"/>
  <c r="K55" i="7"/>
  <c r="M55" i="7"/>
  <c r="O55" i="7"/>
  <c r="P55" i="7"/>
  <c r="L54" i="7"/>
  <c r="N54" i="7" s="1"/>
  <c r="B55" i="7"/>
  <c r="T54" i="7" s="1"/>
  <c r="L17" i="19"/>
  <c r="L33" i="11"/>
  <c r="L34" i="11"/>
  <c r="L35" i="11"/>
  <c r="L36" i="11"/>
  <c r="L37" i="11"/>
  <c r="L38" i="11"/>
  <c r="L39" i="11"/>
  <c r="L40" i="11"/>
  <c r="L41" i="11"/>
  <c r="L42" i="11"/>
  <c r="L43" i="11"/>
  <c r="D6" i="25"/>
  <c r="D7" i="25"/>
  <c r="L248" i="18"/>
  <c r="L252" i="18"/>
  <c r="L253" i="18"/>
  <c r="E198" i="12"/>
  <c r="E196" i="10"/>
  <c r="L400" i="6"/>
  <c r="N400" i="6" s="1"/>
  <c r="Q400" i="6" s="1"/>
  <c r="B161" i="6"/>
  <c r="B162" i="6"/>
  <c r="B164" i="6"/>
  <c r="B165" i="6"/>
  <c r="B149" i="6"/>
  <c r="B150" i="6"/>
  <c r="B152" i="6"/>
  <c r="B153" i="6"/>
  <c r="B137" i="6"/>
  <c r="B138" i="6"/>
  <c r="B140" i="6"/>
  <c r="B141" i="6"/>
  <c r="L102" i="5"/>
  <c r="D33" i="5"/>
  <c r="B102" i="4"/>
  <c r="L255" i="5"/>
  <c r="N255" i="5" s="1"/>
  <c r="L207" i="5"/>
  <c r="N207" i="5" s="1"/>
  <c r="Q54" i="7" l="1"/>
  <c r="D48" i="9"/>
  <c r="F225" i="18" l="1"/>
  <c r="F189" i="18"/>
  <c r="E8" i="25"/>
  <c r="E54" i="25"/>
  <c r="C54" i="25"/>
  <c r="D53" i="25"/>
  <c r="D52" i="25"/>
  <c r="D51" i="25"/>
  <c r="D50" i="25"/>
  <c r="D49" i="25"/>
  <c r="D48" i="25"/>
  <c r="E44" i="25"/>
  <c r="E43" i="25"/>
  <c r="E45" i="25" s="1"/>
  <c r="E39" i="25"/>
  <c r="E38" i="25"/>
  <c r="E37" i="25"/>
  <c r="E36" i="25"/>
  <c r="E35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5" i="25"/>
  <c r="E14" i="25"/>
  <c r="E13" i="25"/>
  <c r="E12" i="25"/>
  <c r="E11" i="25"/>
  <c r="D54" i="25" l="1"/>
  <c r="D40" i="25"/>
  <c r="E34" i="25"/>
  <c r="E40" i="25" s="1"/>
  <c r="C40" i="25"/>
  <c r="D160" i="5"/>
  <c r="B124" i="9"/>
  <c r="B135" i="9"/>
  <c r="F67" i="7"/>
  <c r="C56" i="25" l="1"/>
  <c r="E56" i="25"/>
  <c r="D56" i="25"/>
  <c r="E199" i="15"/>
  <c r="E187" i="15"/>
  <c r="E205" i="13"/>
  <c r="F177" i="18"/>
  <c r="F445" i="5"/>
  <c r="I68" i="4" l="1"/>
  <c r="I21" i="19"/>
  <c r="L22" i="19"/>
  <c r="L64" i="18"/>
  <c r="N64" i="18" s="1"/>
  <c r="Q64" i="18" s="1"/>
  <c r="L36" i="18"/>
  <c r="N36" i="18" s="1"/>
  <c r="Q36" i="18" s="1"/>
  <c r="L122" i="11"/>
  <c r="N122" i="11" s="1"/>
  <c r="I21" i="8"/>
  <c r="I20" i="8"/>
  <c r="F48" i="9" l="1"/>
  <c r="F57" i="12"/>
  <c r="F60" i="9"/>
  <c r="F61" i="9" l="1"/>
  <c r="I21" i="17"/>
  <c r="Q255" i="5"/>
  <c r="Q207" i="5"/>
  <c r="L24" i="3" l="1"/>
  <c r="L44" i="3"/>
  <c r="N44" i="3" s="1"/>
  <c r="L177" i="7"/>
  <c r="N177" i="7" s="1"/>
  <c r="Q177" i="7" s="1"/>
  <c r="L320" i="6"/>
  <c r="N320" i="6" s="1"/>
  <c r="Q320" i="6" s="1"/>
  <c r="L176" i="6"/>
  <c r="L177" i="6"/>
  <c r="L157" i="5"/>
  <c r="N157" i="5" s="1"/>
  <c r="Q157" i="5" s="1"/>
  <c r="E256" i="6"/>
  <c r="F257" i="6" s="1"/>
  <c r="I63" i="4" l="1"/>
  <c r="I75" i="4"/>
  <c r="L19" i="4"/>
  <c r="I56" i="8"/>
  <c r="L56" i="8" s="1"/>
  <c r="I173" i="7" l="1"/>
  <c r="I161" i="7"/>
  <c r="L53" i="7"/>
  <c r="L52" i="7"/>
  <c r="L51" i="7"/>
  <c r="L50" i="7"/>
  <c r="L49" i="7"/>
  <c r="L48" i="7"/>
  <c r="L47" i="7"/>
  <c r="L46" i="7"/>
  <c r="L45" i="7"/>
  <c r="L44" i="7"/>
  <c r="T46" i="7"/>
  <c r="C55" i="7"/>
  <c r="C60" i="7" s="1"/>
  <c r="D55" i="7"/>
  <c r="F55" i="7"/>
  <c r="I55" i="7"/>
  <c r="L60" i="7"/>
  <c r="N60" i="7" s="1"/>
  <c r="Q60" i="7" s="1"/>
  <c r="L30" i="8"/>
  <c r="N30" i="8" s="1"/>
  <c r="Q30" i="8" s="1"/>
  <c r="L31" i="8"/>
  <c r="N31" i="8" s="1"/>
  <c r="Q31" i="8" s="1"/>
  <c r="Q32" i="8"/>
  <c r="L33" i="8"/>
  <c r="N33" i="8" s="1"/>
  <c r="Q33" i="8" s="1"/>
  <c r="L34" i="8"/>
  <c r="N34" i="8" s="1"/>
  <c r="Q34" i="8" s="1"/>
  <c r="L40" i="19"/>
  <c r="N40" i="19" s="1"/>
  <c r="Q40" i="19" s="1"/>
  <c r="B401" i="6"/>
  <c r="N44" i="7" l="1"/>
  <c r="Q44" i="7" s="1"/>
  <c r="N50" i="7"/>
  <c r="Q50" i="7" s="1"/>
  <c r="N52" i="7"/>
  <c r="Q52" i="7" s="1"/>
  <c r="N53" i="7"/>
  <c r="Q53" i="7" s="1"/>
  <c r="N45" i="7"/>
  <c r="Q45" i="7" s="1"/>
  <c r="N46" i="7"/>
  <c r="Q46" i="7" s="1"/>
  <c r="N47" i="7"/>
  <c r="Q47" i="7" s="1"/>
  <c r="N48" i="7"/>
  <c r="Q48" i="7" s="1"/>
  <c r="N49" i="7"/>
  <c r="Q49" i="7" s="1"/>
  <c r="N51" i="7"/>
  <c r="Q51" i="7" s="1"/>
  <c r="T47" i="7"/>
  <c r="T48" i="7"/>
  <c r="T49" i="7"/>
  <c r="T50" i="7"/>
  <c r="T51" i="7"/>
  <c r="T52" i="7"/>
  <c r="T53" i="7"/>
  <c r="T44" i="7"/>
  <c r="T45" i="7"/>
  <c r="F57" i="7"/>
  <c r="B60" i="7"/>
  <c r="B58" i="7"/>
  <c r="B57" i="7"/>
  <c r="C58" i="7"/>
  <c r="I58" i="7" s="1"/>
  <c r="C57" i="7"/>
  <c r="G57" i="7" l="1"/>
  <c r="I57" i="7"/>
  <c r="H58" i="7"/>
  <c r="L58" i="7" s="1"/>
  <c r="N58" i="7" s="1"/>
  <c r="Q58" i="7" s="1"/>
  <c r="L57" i="7" l="1"/>
  <c r="N57" i="7" s="1"/>
  <c r="Q57" i="7" s="1"/>
  <c r="L42" i="6" l="1"/>
  <c r="I55" i="6"/>
  <c r="E117" i="11" l="1"/>
  <c r="E105" i="11"/>
  <c r="C95" i="11"/>
  <c r="I97" i="3"/>
  <c r="L97" i="3" s="1"/>
  <c r="C98" i="11" l="1"/>
  <c r="C100" i="11" s="1"/>
  <c r="C97" i="11"/>
  <c r="N33" i="11"/>
  <c r="Q33" i="11" s="1"/>
  <c r="N34" i="11"/>
  <c r="Q34" i="11" s="1"/>
  <c r="N35" i="11"/>
  <c r="Q35" i="11" s="1"/>
  <c r="N36" i="11"/>
  <c r="Q36" i="11" s="1"/>
  <c r="N37" i="11"/>
  <c r="Q37" i="11" s="1"/>
  <c r="N38" i="11"/>
  <c r="Q38" i="11" s="1"/>
  <c r="N39" i="11"/>
  <c r="Q39" i="11" s="1"/>
  <c r="N40" i="11"/>
  <c r="Q40" i="11" s="1"/>
  <c r="N41" i="11"/>
  <c r="Q41" i="11" s="1"/>
  <c r="N42" i="11"/>
  <c r="Q42" i="11" s="1"/>
  <c r="N43" i="11"/>
  <c r="Q43" i="11" s="1"/>
  <c r="L155" i="18"/>
  <c r="L156" i="18"/>
  <c r="J87" i="15"/>
  <c r="K87" i="15"/>
  <c r="E102" i="12"/>
  <c r="L154" i="7"/>
  <c r="L285" i="6"/>
  <c r="L165" i="6"/>
  <c r="L53" i="9"/>
  <c r="G48" i="9"/>
  <c r="E140" i="5"/>
  <c r="E152" i="5"/>
  <c r="E102" i="5"/>
  <c r="L63" i="4"/>
  <c r="L34" i="9" l="1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20" i="19" l="1"/>
  <c r="N20" i="19" s="1"/>
  <c r="Q20" i="19" s="1"/>
  <c r="L21" i="19"/>
  <c r="N21" i="19" s="1"/>
  <c r="Q21" i="19" s="1"/>
  <c r="L20" i="17"/>
  <c r="N20" i="17" s="1"/>
  <c r="Q20" i="17" s="1"/>
  <c r="L21" i="17"/>
  <c r="N21" i="17" s="1"/>
  <c r="Q21" i="17" s="1"/>
  <c r="N20" i="14"/>
  <c r="Q20" i="14" s="1"/>
  <c r="L21" i="14"/>
  <c r="N21" i="14" s="1"/>
  <c r="Q21" i="14" s="1"/>
  <c r="E21" i="9"/>
  <c r="L21" i="9"/>
  <c r="N21" i="9" s="1"/>
  <c r="Q21" i="9" s="1"/>
  <c r="L21" i="8"/>
  <c r="N21" i="8" s="1"/>
  <c r="Q21" i="8" s="1"/>
  <c r="L55" i="15"/>
  <c r="L56" i="15"/>
  <c r="L44" i="15"/>
  <c r="L45" i="15"/>
  <c r="L46" i="15"/>
  <c r="L47" i="15"/>
  <c r="L48" i="15"/>
  <c r="L49" i="15"/>
  <c r="L50" i="15"/>
  <c r="L51" i="15"/>
  <c r="L52" i="15"/>
  <c r="L53" i="15"/>
  <c r="L54" i="15"/>
  <c r="E30" i="15"/>
  <c r="L352" i="6"/>
  <c r="L364" i="6"/>
  <c r="N364" i="6" s="1"/>
  <c r="Q364" i="6" s="1"/>
  <c r="L396" i="5" l="1"/>
  <c r="I17" i="17" l="1"/>
  <c r="X13" i="9"/>
  <c r="X13" i="3"/>
  <c r="E145" i="13" l="1"/>
  <c r="E20" i="11"/>
  <c r="F21" i="11" s="1"/>
  <c r="E27" i="10"/>
  <c r="E139" i="9"/>
  <c r="E68" i="9"/>
  <c r="E244" i="6"/>
  <c r="E16" i="8"/>
  <c r="E42" i="6"/>
  <c r="F21" i="3"/>
  <c r="J29" i="18"/>
  <c r="I113" i="16"/>
  <c r="L108" i="15"/>
  <c r="N154" i="7" l="1"/>
  <c r="B99" i="3" l="1"/>
  <c r="H99" i="3" s="1"/>
  <c r="L176" i="18" l="1"/>
  <c r="N176" i="18" s="1"/>
  <c r="Q176" i="18" s="1"/>
  <c r="F613" i="5" l="1"/>
  <c r="F553" i="5"/>
  <c r="F541" i="5"/>
  <c r="F433" i="5"/>
  <c r="F385" i="5"/>
  <c r="B30" i="6"/>
  <c r="F63" i="13" l="1"/>
  <c r="F48" i="14" l="1"/>
  <c r="L93" i="11"/>
  <c r="N93" i="11" s="1"/>
  <c r="Q93" i="11" s="1"/>
  <c r="L92" i="11"/>
  <c r="N92" i="11" s="1"/>
  <c r="Q92" i="11" s="1"/>
  <c r="E86" i="19" l="1"/>
  <c r="F70" i="18"/>
  <c r="L36" i="8"/>
  <c r="N36" i="8" s="1"/>
  <c r="Q36" i="8" s="1"/>
  <c r="L588" i="5" l="1"/>
  <c r="N588" i="5" s="1"/>
  <c r="Q588" i="5" s="1"/>
  <c r="E588" i="5"/>
  <c r="Q178" i="18"/>
  <c r="D52" i="13"/>
  <c r="D28" i="9" l="1"/>
  <c r="D7" i="9" s="1"/>
  <c r="N47" i="9"/>
  <c r="Q47" i="9" s="1"/>
  <c r="B48" i="9"/>
  <c r="B50" i="9" s="1"/>
  <c r="B51" i="9" s="1"/>
  <c r="C48" i="9"/>
  <c r="C50" i="9" s="1"/>
  <c r="C51" i="9" s="1"/>
  <c r="B54" i="9"/>
  <c r="C53" i="9"/>
  <c r="C54" i="9" s="1"/>
  <c r="A56" i="9"/>
  <c r="N39" i="9"/>
  <c r="Q39" i="9" s="1"/>
  <c r="N38" i="9"/>
  <c r="Q38" i="9" s="1"/>
  <c r="C56" i="9" l="1"/>
  <c r="T47" i="9"/>
  <c r="B56" i="9"/>
  <c r="A19" i="18"/>
  <c r="C58" i="15"/>
  <c r="L25" i="3" l="1"/>
  <c r="N25" i="3" s="1"/>
  <c r="L167" i="15" l="1"/>
  <c r="C401" i="6" l="1"/>
  <c r="F401" i="6"/>
  <c r="G401" i="6" l="1"/>
  <c r="I401" i="6"/>
  <c r="B76" i="3"/>
  <c r="L401" i="6" l="1"/>
  <c r="N401" i="6" s="1"/>
  <c r="Q401" i="6" s="1"/>
  <c r="B40" i="3"/>
  <c r="L121" i="18"/>
  <c r="L57" i="18"/>
  <c r="N57" i="18" s="1"/>
  <c r="Q57" i="18" s="1"/>
  <c r="P38" i="17"/>
  <c r="B35" i="15"/>
  <c r="B34" i="15"/>
  <c r="B32" i="15"/>
  <c r="B31" i="15"/>
  <c r="B22" i="14"/>
  <c r="B21" i="14"/>
  <c r="B20" i="14"/>
  <c r="B19" i="14"/>
  <c r="E88" i="12"/>
  <c r="J19" i="9"/>
  <c r="B30" i="7"/>
  <c r="B29" i="7"/>
  <c r="B28" i="7"/>
  <c r="B27" i="7"/>
  <c r="B26" i="7"/>
  <c r="B22" i="19"/>
  <c r="B21" i="19"/>
  <c r="B19" i="19"/>
  <c r="B18" i="19"/>
  <c r="L199" i="15" l="1"/>
  <c r="N199" i="15" s="1"/>
  <c r="Q199" i="15" s="1"/>
  <c r="L42" i="14"/>
  <c r="L41" i="14"/>
  <c r="L49" i="4"/>
  <c r="B34" i="5" l="1"/>
  <c r="B14" i="5"/>
  <c r="U31" i="15" l="1"/>
  <c r="L101" i="3" l="1"/>
  <c r="N101" i="3" s="1"/>
  <c r="Q101" i="3" s="1"/>
  <c r="L89" i="15" l="1"/>
  <c r="N89" i="15" s="1"/>
  <c r="Q89" i="15" s="1"/>
  <c r="E89" i="15"/>
  <c r="E223" i="15" l="1"/>
  <c r="L520" i="5" l="1"/>
  <c r="T94" i="15" l="1"/>
  <c r="S100" i="13" l="1"/>
  <c r="L190" i="7"/>
  <c r="N190" i="7" s="1"/>
  <c r="Q190" i="7" s="1"/>
  <c r="L153" i="6" l="1"/>
  <c r="L268" i="5" l="1"/>
  <c r="N268" i="5" s="1"/>
  <c r="Q268" i="5" s="1"/>
  <c r="L133" i="5"/>
  <c r="L106" i="4"/>
  <c r="N106" i="4" s="1"/>
  <c r="E215" i="5" l="1"/>
  <c r="F20" i="16"/>
  <c r="I20" i="16" l="1"/>
  <c r="E420" i="5" l="1"/>
  <c r="L140" i="5"/>
  <c r="F103" i="5" l="1"/>
  <c r="F109" i="5" s="1"/>
  <c r="L215" i="5"/>
  <c r="F78" i="11" l="1"/>
  <c r="F80" i="9" l="1"/>
  <c r="E59" i="3"/>
  <c r="B35" i="6" l="1"/>
  <c r="B23" i="6"/>
  <c r="L124" i="10" l="1"/>
  <c r="L160" i="10"/>
  <c r="N160" i="10" s="1"/>
  <c r="Q160" i="10" s="1"/>
  <c r="E160" i="10"/>
  <c r="F163" i="18" l="1"/>
  <c r="B24" i="16"/>
  <c r="B23" i="16"/>
  <c r="B21" i="16"/>
  <c r="H21" i="16" s="1"/>
  <c r="L21" i="16" s="1"/>
  <c r="N21" i="16" s="1"/>
  <c r="Q21" i="16" s="1"/>
  <c r="B20" i="16"/>
  <c r="G20" i="16" s="1"/>
  <c r="N55" i="15" l="1"/>
  <c r="Q55" i="15" s="1"/>
  <c r="N49" i="15"/>
  <c r="Q49" i="15" s="1"/>
  <c r="B58" i="15" l="1"/>
  <c r="D67" i="6" l="1"/>
  <c r="D74" i="6" s="1"/>
  <c r="E27" i="12" l="1"/>
  <c r="E74" i="10"/>
  <c r="L114" i="13" l="1"/>
  <c r="N114" i="13" s="1"/>
  <c r="N177" i="6"/>
  <c r="Q177" i="6" s="1"/>
  <c r="L365" i="5"/>
  <c r="N365" i="5" s="1"/>
  <c r="Q365" i="5" s="1"/>
  <c r="Q25" i="3"/>
  <c r="D27" i="3" l="1"/>
  <c r="N56" i="15" l="1"/>
  <c r="Q56" i="15" s="1"/>
  <c r="H58" i="15"/>
  <c r="I58" i="15"/>
  <c r="J58" i="15"/>
  <c r="J41" i="15" s="1"/>
  <c r="K58" i="15"/>
  <c r="M58" i="15"/>
  <c r="O58" i="15"/>
  <c r="P58" i="15"/>
  <c r="G58" i="15"/>
  <c r="E58" i="15" l="1"/>
  <c r="F59" i="15" s="1"/>
  <c r="F41" i="15"/>
  <c r="H41" i="15" s="1"/>
  <c r="F194" i="13"/>
  <c r="N115" i="6" l="1"/>
  <c r="N118" i="6"/>
  <c r="E113" i="4" l="1"/>
  <c r="F114" i="4" s="1"/>
  <c r="E101" i="4"/>
  <c r="F102" i="4" s="1"/>
  <c r="E89" i="4"/>
  <c r="F90" i="4" s="1"/>
  <c r="E75" i="4"/>
  <c r="F76" i="4" s="1"/>
  <c r="E63" i="4"/>
  <c r="F64" i="4" s="1"/>
  <c r="E19" i="4"/>
  <c r="F20" i="4" s="1"/>
  <c r="E97" i="3"/>
  <c r="F98" i="3" s="1"/>
  <c r="E71" i="3"/>
  <c r="F72" i="3" s="1"/>
  <c r="F78" i="3" s="1"/>
  <c r="F60" i="3"/>
  <c r="F66" i="3" s="1"/>
  <c r="E128" i="5"/>
  <c r="F129" i="5" s="1"/>
  <c r="L40" i="4"/>
  <c r="N40" i="4" s="1"/>
  <c r="L41" i="4"/>
  <c r="N41" i="4" s="1"/>
  <c r="L39" i="4"/>
  <c r="N39" i="4" s="1"/>
  <c r="L33" i="4"/>
  <c r="N33" i="4" s="1"/>
  <c r="L34" i="4"/>
  <c r="N34" i="4" s="1"/>
  <c r="L35" i="4"/>
  <c r="N35" i="4" s="1"/>
  <c r="L36" i="4"/>
  <c r="N36" i="4" s="1"/>
  <c r="L37" i="4"/>
  <c r="N37" i="4" s="1"/>
  <c r="L38" i="4"/>
  <c r="N38" i="4" s="1"/>
  <c r="E124" i="10" l="1"/>
  <c r="E209" i="7"/>
  <c r="L118" i="7"/>
  <c r="E136" i="6"/>
  <c r="P78" i="3" l="1"/>
  <c r="S70" i="11" l="1"/>
  <c r="S73" i="9"/>
  <c r="S61" i="8"/>
  <c r="W24" i="22" l="1"/>
  <c r="V22" i="22"/>
  <c r="V21" i="22"/>
  <c r="V20" i="22"/>
  <c r="V19" i="22"/>
  <c r="V18" i="22"/>
  <c r="V17" i="22"/>
  <c r="V16" i="22"/>
  <c r="V13" i="22"/>
  <c r="V10" i="22"/>
  <c r="V7" i="22"/>
  <c r="AB22" i="22" l="1"/>
  <c r="AB21" i="22"/>
  <c r="AB20" i="22"/>
  <c r="AB19" i="22"/>
  <c r="AB18" i="22"/>
  <c r="AB17" i="22"/>
  <c r="AB16" i="22"/>
  <c r="AB15" i="22"/>
  <c r="AB13" i="22"/>
  <c r="AB11" i="22"/>
  <c r="AB10" i="22"/>
  <c r="AB9" i="22"/>
  <c r="AB8" i="22"/>
  <c r="AB7" i="22"/>
  <c r="AB6" i="22"/>
  <c r="V14" i="22"/>
  <c r="AB14" i="22" s="1"/>
  <c r="V12" i="22"/>
  <c r="AB12" i="22" s="1"/>
  <c r="AA24" i="22"/>
  <c r="AB24" i="22" l="1"/>
  <c r="A7" i="3" l="1"/>
  <c r="X24" i="22" l="1"/>
  <c r="T24" i="22" l="1"/>
  <c r="V24" i="22"/>
  <c r="AB77" i="3" l="1"/>
  <c r="Y66" i="3"/>
  <c r="Y65" i="3"/>
  <c r="G83" i="5" l="1"/>
  <c r="E163" i="15" l="1"/>
  <c r="O59" i="18" l="1"/>
  <c r="M59" i="18"/>
  <c r="H59" i="18"/>
  <c r="I59" i="18"/>
  <c r="J59" i="18"/>
  <c r="K59" i="18"/>
  <c r="G59" i="18"/>
  <c r="F59" i="18"/>
  <c r="D59" i="18"/>
  <c r="F103" i="12" l="1"/>
  <c r="B67" i="6"/>
  <c r="L31" i="12" l="1"/>
  <c r="L126" i="12" l="1"/>
  <c r="N126" i="12" s="1"/>
  <c r="E126" i="12"/>
  <c r="X17" i="5"/>
  <c r="I20" i="3" l="1"/>
  <c r="I71" i="3"/>
  <c r="I59" i="3"/>
  <c r="I38" i="3"/>
  <c r="I37" i="3"/>
  <c r="I36" i="3"/>
  <c r="I35" i="3"/>
  <c r="I34" i="3"/>
  <c r="I33" i="3"/>
  <c r="L91" i="19" l="1"/>
  <c r="N91" i="19" s="1"/>
  <c r="L166" i="7"/>
  <c r="N166" i="7" s="1"/>
  <c r="I58" i="17" l="1"/>
  <c r="L105" i="16"/>
  <c r="N105" i="16" s="1"/>
  <c r="L251" i="15"/>
  <c r="N251" i="15" s="1"/>
  <c r="L197" i="13"/>
  <c r="N197" i="13" s="1"/>
  <c r="Q197" i="13" s="1"/>
  <c r="L154" i="12"/>
  <c r="N154" i="12" s="1"/>
  <c r="Q154" i="12" s="1"/>
  <c r="L166" i="12"/>
  <c r="N166" i="12" s="1"/>
  <c r="Q166" i="12" s="1"/>
  <c r="L564" i="5" l="1"/>
  <c r="N564" i="5" s="1"/>
  <c r="Q564" i="5" s="1"/>
  <c r="E564" i="5"/>
  <c r="L420" i="5"/>
  <c r="N420" i="5" s="1"/>
  <c r="Q420" i="5" s="1"/>
  <c r="I384" i="5"/>
  <c r="I372" i="5"/>
  <c r="L360" i="5"/>
  <c r="N360" i="5" s="1"/>
  <c r="E360" i="5"/>
  <c r="L87" i="7" l="1"/>
  <c r="N87" i="7" s="1"/>
  <c r="Q87" i="7" s="1"/>
  <c r="P216" i="7" l="1"/>
  <c r="P19" i="7" s="1"/>
  <c r="O216" i="7"/>
  <c r="O19" i="7" s="1"/>
  <c r="M216" i="7"/>
  <c r="M19" i="7" s="1"/>
  <c r="K216" i="7"/>
  <c r="K19" i="7" s="1"/>
  <c r="J216" i="7"/>
  <c r="J19" i="7" s="1"/>
  <c r="D216" i="7"/>
  <c r="D19" i="7" s="1"/>
  <c r="C216" i="7"/>
  <c r="C19" i="7" s="1"/>
  <c r="B216" i="7"/>
  <c r="B19" i="7" s="1"/>
  <c r="A216" i="7"/>
  <c r="L214" i="7"/>
  <c r="N214" i="7" s="1"/>
  <c r="Q214" i="7" s="1"/>
  <c r="C214" i="7"/>
  <c r="B214" i="7"/>
  <c r="L213" i="7"/>
  <c r="N213" i="7" s="1"/>
  <c r="Q213" i="7" s="1"/>
  <c r="C213" i="7"/>
  <c r="B213" i="7"/>
  <c r="C211" i="7"/>
  <c r="I211" i="7" s="1"/>
  <c r="B211" i="7"/>
  <c r="C210" i="7"/>
  <c r="B210" i="7"/>
  <c r="L209" i="7"/>
  <c r="N209" i="7" s="1"/>
  <c r="F210" i="7"/>
  <c r="H211" i="7" l="1"/>
  <c r="L211" i="7" s="1"/>
  <c r="N211" i="7" s="1"/>
  <c r="Q211" i="7" s="1"/>
  <c r="G210" i="7"/>
  <c r="F216" i="7"/>
  <c r="I210" i="7"/>
  <c r="I216" i="7" s="1"/>
  <c r="I19" i="7" s="1"/>
  <c r="H216" i="7" l="1"/>
  <c r="H19" i="7" s="1"/>
  <c r="F218" i="7"/>
  <c r="F19" i="7"/>
  <c r="Q209" i="7"/>
  <c r="L210" i="7"/>
  <c r="G216" i="7"/>
  <c r="G19" i="7" s="1"/>
  <c r="N210" i="7" l="1"/>
  <c r="L216" i="7"/>
  <c r="L19" i="7" s="1"/>
  <c r="Q210" i="7" l="1"/>
  <c r="Q216" i="7" s="1"/>
  <c r="Q19" i="7" s="1"/>
  <c r="N216" i="7"/>
  <c r="N19" i="7" s="1"/>
  <c r="L352" i="5" l="1"/>
  <c r="N352" i="5" s="1"/>
  <c r="Q352" i="5" s="1"/>
  <c r="N364" i="5"/>
  <c r="Q364" i="5" s="1"/>
  <c r="E229" i="13" l="1"/>
  <c r="F230" i="13" s="1"/>
  <c r="E77" i="15" l="1"/>
  <c r="F78" i="15" s="1"/>
  <c r="L101" i="16" l="1"/>
  <c r="N101" i="16" s="1"/>
  <c r="L82" i="14" l="1"/>
  <c r="L31" i="14"/>
  <c r="N352" i="6" l="1"/>
  <c r="Q352" i="6" s="1"/>
  <c r="E352" i="6"/>
  <c r="F353" i="6" s="1"/>
  <c r="B353" i="6"/>
  <c r="C353" i="6"/>
  <c r="B354" i="6"/>
  <c r="C354" i="6"/>
  <c r="I354" i="6" s="1"/>
  <c r="B356" i="6"/>
  <c r="C356" i="6"/>
  <c r="N356" i="6"/>
  <c r="Q356" i="6" s="1"/>
  <c r="B357" i="6"/>
  <c r="C357" i="6"/>
  <c r="Q357" i="6"/>
  <c r="I353" i="6" l="1"/>
  <c r="H354" i="6"/>
  <c r="L354" i="6" s="1"/>
  <c r="N354" i="6" s="1"/>
  <c r="Q354" i="6" s="1"/>
  <c r="G353" i="6"/>
  <c r="L353" i="6" l="1"/>
  <c r="N353" i="6" s="1"/>
  <c r="Q353" i="6" s="1"/>
  <c r="L58" i="6"/>
  <c r="N58" i="6" s="1"/>
  <c r="Q58" i="6" s="1"/>
  <c r="N40" i="9" l="1"/>
  <c r="Q40" i="9" s="1"/>
  <c r="L86" i="10" l="1"/>
  <c r="L27" i="10"/>
  <c r="A37" i="5" l="1"/>
  <c r="H83" i="5"/>
  <c r="Q36" i="4"/>
  <c r="U57" i="18" l="1"/>
  <c r="U56" i="18"/>
  <c r="J42" i="18"/>
  <c r="F42" i="18"/>
  <c r="U44" i="18"/>
  <c r="E59" i="18"/>
  <c r="F60" i="18" s="1"/>
  <c r="F66" i="18" s="1"/>
  <c r="F74" i="18" s="1"/>
  <c r="U45" i="18"/>
  <c r="U49" i="18"/>
  <c r="U51" i="18"/>
  <c r="U48" i="18"/>
  <c r="U47" i="18"/>
  <c r="U46" i="18"/>
  <c r="U52" i="18"/>
  <c r="U50" i="18"/>
  <c r="U55" i="18"/>
  <c r="U54" i="18"/>
  <c r="U53" i="18"/>
  <c r="F164" i="15"/>
  <c r="F170" i="15" s="1"/>
  <c r="F172" i="15" s="1"/>
  <c r="A28" i="6"/>
  <c r="P63" i="7"/>
  <c r="P8" i="7" s="1"/>
  <c r="O63" i="7"/>
  <c r="O8" i="7" s="1"/>
  <c r="B86" i="17"/>
  <c r="H86" i="17" s="1"/>
  <c r="B88" i="17"/>
  <c r="B89" i="17"/>
  <c r="B85" i="17"/>
  <c r="P91" i="17"/>
  <c r="P10" i="17" s="1"/>
  <c r="O91" i="17"/>
  <c r="O10" i="17" s="1"/>
  <c r="M91" i="17"/>
  <c r="M10" i="17" s="1"/>
  <c r="K91" i="17"/>
  <c r="K10" i="17" s="1"/>
  <c r="J91" i="17"/>
  <c r="J10" i="17" s="1"/>
  <c r="D91" i="17"/>
  <c r="D10" i="17" s="1"/>
  <c r="C91" i="17"/>
  <c r="C10" i="17" s="1"/>
  <c r="B91" i="17"/>
  <c r="B10" i="17" s="1"/>
  <c r="A91" i="17"/>
  <c r="L89" i="17"/>
  <c r="N89" i="17" s="1"/>
  <c r="Q89" i="17" s="1"/>
  <c r="L88" i="17"/>
  <c r="N88" i="17" s="1"/>
  <c r="Q88" i="17" s="1"/>
  <c r="I86" i="17"/>
  <c r="L84" i="17"/>
  <c r="N84" i="17" s="1"/>
  <c r="Q84" i="17" s="1"/>
  <c r="E84" i="17"/>
  <c r="F85" i="17" s="1"/>
  <c r="G82" i="17"/>
  <c r="A18" i="6"/>
  <c r="A24" i="19"/>
  <c r="A48" i="19"/>
  <c r="A81" i="19"/>
  <c r="A79" i="19"/>
  <c r="A93" i="19"/>
  <c r="A10" i="19"/>
  <c r="A9" i="19"/>
  <c r="A8" i="19"/>
  <c r="A7" i="19"/>
  <c r="A38" i="18"/>
  <c r="A66" i="18"/>
  <c r="A99" i="18"/>
  <c r="A97" i="18"/>
  <c r="A111" i="18"/>
  <c r="A123" i="18"/>
  <c r="A135" i="18"/>
  <c r="A159" i="18"/>
  <c r="A171" i="18"/>
  <c r="A183" i="18"/>
  <c r="A195" i="18"/>
  <c r="A207" i="18"/>
  <c r="A219" i="18"/>
  <c r="A231" i="18"/>
  <c r="A243" i="18"/>
  <c r="A255" i="18"/>
  <c r="A267" i="18"/>
  <c r="A279" i="18"/>
  <c r="A24" i="18"/>
  <c r="A23" i="18"/>
  <c r="A22" i="18"/>
  <c r="A21" i="18"/>
  <c r="A20" i="18"/>
  <c r="A18" i="18"/>
  <c r="A17" i="18"/>
  <c r="A16" i="18"/>
  <c r="A15" i="18"/>
  <c r="A14" i="18"/>
  <c r="A12" i="18"/>
  <c r="A11" i="18"/>
  <c r="A10" i="18"/>
  <c r="A9" i="18"/>
  <c r="A8" i="18"/>
  <c r="A7" i="18"/>
  <c r="A79" i="17"/>
  <c r="A77" i="17"/>
  <c r="A46" i="17"/>
  <c r="A9" i="17"/>
  <c r="A8" i="17"/>
  <c r="A7" i="17"/>
  <c r="A24" i="17"/>
  <c r="A120" i="16"/>
  <c r="A108" i="16"/>
  <c r="A84" i="16"/>
  <c r="A96" i="16"/>
  <c r="A82" i="16"/>
  <c r="A51" i="16"/>
  <c r="A12" i="16"/>
  <c r="A11" i="16"/>
  <c r="A10" i="16"/>
  <c r="A9" i="16"/>
  <c r="A8" i="16"/>
  <c r="A7" i="16"/>
  <c r="A26" i="16"/>
  <c r="A266" i="15"/>
  <c r="A254" i="15"/>
  <c r="A242" i="15"/>
  <c r="A230" i="15"/>
  <c r="A206" i="15"/>
  <c r="A194" i="15"/>
  <c r="A182" i="15"/>
  <c r="A170" i="15"/>
  <c r="A158" i="15"/>
  <c r="A146" i="15"/>
  <c r="A134" i="15"/>
  <c r="A122" i="15"/>
  <c r="A110" i="15"/>
  <c r="A98" i="15"/>
  <c r="A96" i="15"/>
  <c r="A65" i="15"/>
  <c r="A37" i="15"/>
  <c r="A23" i="15"/>
  <c r="A22" i="15"/>
  <c r="A21" i="15"/>
  <c r="A20" i="15"/>
  <c r="A218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75" i="14"/>
  <c r="A77" i="14"/>
  <c r="A89" i="14"/>
  <c r="A44" i="14"/>
  <c r="A24" i="14"/>
  <c r="A10" i="14"/>
  <c r="A9" i="14"/>
  <c r="A8" i="14"/>
  <c r="A7" i="14"/>
  <c r="A260" i="13"/>
  <c r="A248" i="13"/>
  <c r="A236" i="13"/>
  <c r="A224" i="13"/>
  <c r="A212" i="13"/>
  <c r="A200" i="13"/>
  <c r="A188" i="13"/>
  <c r="A176" i="13"/>
  <c r="A164" i="13"/>
  <c r="A152" i="13"/>
  <c r="A140" i="13"/>
  <c r="A128" i="13"/>
  <c r="A116" i="13"/>
  <c r="A104" i="13"/>
  <c r="A92" i="13"/>
  <c r="A90" i="13"/>
  <c r="A59" i="13"/>
  <c r="A37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229" i="12"/>
  <c r="A217" i="12"/>
  <c r="A205" i="12"/>
  <c r="A193" i="12"/>
  <c r="A181" i="12"/>
  <c r="A169" i="12"/>
  <c r="A157" i="12"/>
  <c r="A145" i="12"/>
  <c r="A133" i="12"/>
  <c r="A121" i="12"/>
  <c r="A109" i="12"/>
  <c r="A97" i="12"/>
  <c r="A95" i="12"/>
  <c r="A64" i="12"/>
  <c r="A34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136" i="11"/>
  <c r="A124" i="11"/>
  <c r="A112" i="11"/>
  <c r="A100" i="11"/>
  <c r="A84" i="11"/>
  <c r="A86" i="11"/>
  <c r="A53" i="11"/>
  <c r="A27" i="11"/>
  <c r="A13" i="11"/>
  <c r="A12" i="11"/>
  <c r="A11" i="11"/>
  <c r="A10" i="11"/>
  <c r="A9" i="11"/>
  <c r="A8" i="11"/>
  <c r="A7" i="11"/>
  <c r="A227" i="10"/>
  <c r="A215" i="10"/>
  <c r="A203" i="10"/>
  <c r="A191" i="10"/>
  <c r="A179" i="10"/>
  <c r="A167" i="10"/>
  <c r="A155" i="10"/>
  <c r="A143" i="10"/>
  <c r="A131" i="10"/>
  <c r="A119" i="10"/>
  <c r="A107" i="10"/>
  <c r="A95" i="10"/>
  <c r="A93" i="10"/>
  <c r="A62" i="10"/>
  <c r="A34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146" i="9"/>
  <c r="A135" i="9"/>
  <c r="A124" i="9"/>
  <c r="A112" i="9"/>
  <c r="A100" i="9"/>
  <c r="A88" i="9"/>
  <c r="A86" i="9"/>
  <c r="A28" i="9"/>
  <c r="A14" i="9"/>
  <c r="A13" i="9"/>
  <c r="A12" i="9"/>
  <c r="A11" i="9"/>
  <c r="A10" i="9"/>
  <c r="A9" i="9"/>
  <c r="A8" i="9"/>
  <c r="A7" i="9"/>
  <c r="A23" i="8"/>
  <c r="A44" i="8"/>
  <c r="A75" i="8"/>
  <c r="A9" i="8"/>
  <c r="A8" i="8"/>
  <c r="A7" i="8"/>
  <c r="A204" i="7"/>
  <c r="A192" i="7"/>
  <c r="A180" i="7"/>
  <c r="A168" i="7"/>
  <c r="A156" i="7"/>
  <c r="A144" i="7"/>
  <c r="A132" i="7"/>
  <c r="A120" i="7"/>
  <c r="A108" i="7"/>
  <c r="A63" i="7"/>
  <c r="A32" i="7"/>
  <c r="A18" i="7"/>
  <c r="A17" i="7"/>
  <c r="A16" i="7"/>
  <c r="A15" i="7"/>
  <c r="A14" i="7"/>
  <c r="A13" i="7"/>
  <c r="A12" i="7"/>
  <c r="A11" i="7"/>
  <c r="A10" i="7"/>
  <c r="A9" i="7"/>
  <c r="A8" i="7"/>
  <c r="A7" i="7"/>
  <c r="A419" i="6"/>
  <c r="A407" i="6"/>
  <c r="A395" i="6"/>
  <c r="A383" i="6"/>
  <c r="A371" i="6"/>
  <c r="A359" i="6"/>
  <c r="A347" i="6"/>
  <c r="A323" i="6"/>
  <c r="A311" i="6"/>
  <c r="A299" i="6"/>
  <c r="A287" i="6"/>
  <c r="A275" i="6"/>
  <c r="A263" i="6"/>
  <c r="A251" i="6"/>
  <c r="A239" i="6"/>
  <c r="A227" i="6"/>
  <c r="A215" i="6"/>
  <c r="A203" i="6"/>
  <c r="A179" i="6"/>
  <c r="A167" i="6"/>
  <c r="A155" i="6"/>
  <c r="A143" i="6"/>
  <c r="A131" i="6"/>
  <c r="A119" i="6"/>
  <c r="A49" i="6"/>
  <c r="A35" i="6"/>
  <c r="A34" i="6"/>
  <c r="A33" i="6"/>
  <c r="A32" i="6"/>
  <c r="A31" i="6"/>
  <c r="A30" i="6"/>
  <c r="A29" i="6"/>
  <c r="A27" i="6"/>
  <c r="A26" i="6"/>
  <c r="A25" i="6"/>
  <c r="A24" i="6"/>
  <c r="A23" i="6"/>
  <c r="A22" i="6"/>
  <c r="A21" i="6"/>
  <c r="A20" i="6"/>
  <c r="A19" i="6"/>
  <c r="A17" i="6"/>
  <c r="A15" i="6"/>
  <c r="A14" i="6"/>
  <c r="A13" i="6"/>
  <c r="A12" i="6"/>
  <c r="A11" i="6"/>
  <c r="A10" i="6"/>
  <c r="A9" i="6"/>
  <c r="A8" i="6"/>
  <c r="A7" i="6"/>
  <c r="A26" i="4"/>
  <c r="A70" i="4"/>
  <c r="A82" i="4"/>
  <c r="A96" i="4"/>
  <c r="A108" i="4"/>
  <c r="A120" i="4"/>
  <c r="A128" i="3"/>
  <c r="A116" i="3"/>
  <c r="A104" i="3"/>
  <c r="A92" i="3"/>
  <c r="A78" i="3"/>
  <c r="A66" i="3"/>
  <c r="A27" i="3"/>
  <c r="A12" i="4"/>
  <c r="A11" i="4"/>
  <c r="A10" i="4"/>
  <c r="A9" i="4"/>
  <c r="A8" i="4"/>
  <c r="A7" i="4"/>
  <c r="A13" i="3"/>
  <c r="A12" i="3"/>
  <c r="A11" i="3"/>
  <c r="A10" i="3"/>
  <c r="A9" i="3"/>
  <c r="A8" i="3"/>
  <c r="A66" i="5"/>
  <c r="A90" i="5"/>
  <c r="A109" i="5"/>
  <c r="A121" i="5"/>
  <c r="A135" i="5"/>
  <c r="A147" i="5"/>
  <c r="A160" i="5"/>
  <c r="A172" i="5"/>
  <c r="A186" i="5"/>
  <c r="A198" i="5"/>
  <c r="A210" i="5"/>
  <c r="A222" i="5"/>
  <c r="A234" i="5"/>
  <c r="A246" i="5"/>
  <c r="A258" i="5"/>
  <c r="A270" i="5"/>
  <c r="A282" i="5"/>
  <c r="A294" i="5"/>
  <c r="A306" i="5"/>
  <c r="A318" i="5"/>
  <c r="A330" i="5"/>
  <c r="A342" i="5"/>
  <c r="A355" i="5"/>
  <c r="A367" i="5"/>
  <c r="A379" i="5"/>
  <c r="A391" i="5"/>
  <c r="A403" i="5"/>
  <c r="A415" i="5"/>
  <c r="A427" i="5"/>
  <c r="A439" i="5"/>
  <c r="A451" i="5"/>
  <c r="A463" i="5"/>
  <c r="A475" i="5"/>
  <c r="A487" i="5"/>
  <c r="A499" i="5"/>
  <c r="A511" i="5"/>
  <c r="A523" i="5"/>
  <c r="A535" i="5"/>
  <c r="A547" i="5"/>
  <c r="A559" i="5"/>
  <c r="A571" i="5"/>
  <c r="A583" i="5"/>
  <c r="A595" i="5"/>
  <c r="A607" i="5"/>
  <c r="A619" i="5"/>
  <c r="A26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6" i="5"/>
  <c r="A35" i="5"/>
  <c r="A34" i="5"/>
  <c r="A33" i="5"/>
  <c r="A32" i="5"/>
  <c r="A31" i="5"/>
  <c r="A30" i="5"/>
  <c r="A29" i="5"/>
  <c r="A28" i="5"/>
  <c r="A27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C4" i="22"/>
  <c r="C57" i="22" s="1"/>
  <c r="B4" i="22"/>
  <c r="B30" i="22" s="1"/>
  <c r="C2" i="21"/>
  <c r="B2" i="21"/>
  <c r="C2" i="20"/>
  <c r="B2" i="20"/>
  <c r="C3" i="19"/>
  <c r="B3" i="19"/>
  <c r="C3" i="18"/>
  <c r="B3" i="18"/>
  <c r="C3" i="17"/>
  <c r="B3" i="17"/>
  <c r="C3" i="16"/>
  <c r="B3" i="16"/>
  <c r="C3" i="15"/>
  <c r="B3" i="15"/>
  <c r="C3" i="14"/>
  <c r="B3" i="14"/>
  <c r="C3" i="13"/>
  <c r="B3" i="13"/>
  <c r="C3" i="12"/>
  <c r="B3" i="12"/>
  <c r="C3" i="11"/>
  <c r="B3" i="11"/>
  <c r="C3" i="10"/>
  <c r="B3" i="10"/>
  <c r="C3" i="9"/>
  <c r="B3" i="9"/>
  <c r="C3" i="8"/>
  <c r="B3" i="8"/>
  <c r="C3" i="7"/>
  <c r="B3" i="7"/>
  <c r="C3" i="6"/>
  <c r="B3" i="6"/>
  <c r="C3" i="5"/>
  <c r="B3" i="5"/>
  <c r="C3" i="4"/>
  <c r="B3" i="4"/>
  <c r="L228" i="18"/>
  <c r="N228" i="18" s="1"/>
  <c r="Q228" i="18" s="1"/>
  <c r="L229" i="18"/>
  <c r="N229" i="18" s="1"/>
  <c r="Q229" i="18" s="1"/>
  <c r="L216" i="18"/>
  <c r="N216" i="18" s="1"/>
  <c r="Q216" i="18" s="1"/>
  <c r="L217" i="18"/>
  <c r="N217" i="18" s="1"/>
  <c r="Q217" i="18" s="1"/>
  <c r="L192" i="18"/>
  <c r="N192" i="18" s="1"/>
  <c r="Q192" i="18" s="1"/>
  <c r="L193" i="18"/>
  <c r="N193" i="18" s="1"/>
  <c r="Q193" i="18" s="1"/>
  <c r="L180" i="18"/>
  <c r="N180" i="18" s="1"/>
  <c r="Q180" i="18" s="1"/>
  <c r="L181" i="18"/>
  <c r="N181" i="18" s="1"/>
  <c r="Q181" i="18" s="1"/>
  <c r="F151" i="18"/>
  <c r="F224" i="15"/>
  <c r="F197" i="10"/>
  <c r="E124" i="6"/>
  <c r="F125" i="6" s="1"/>
  <c r="F131" i="6" s="1"/>
  <c r="F11" i="6" s="1"/>
  <c r="E112" i="6"/>
  <c r="F113" i="6" s="1"/>
  <c r="E98" i="6"/>
  <c r="F99" i="6" s="1"/>
  <c r="F43" i="6"/>
  <c r="F137" i="6"/>
  <c r="E148" i="6"/>
  <c r="F149" i="6" s="1"/>
  <c r="E160" i="6"/>
  <c r="F161" i="6" s="1"/>
  <c r="F167" i="6" s="1"/>
  <c r="F14" i="6" s="1"/>
  <c r="E172" i="6"/>
  <c r="F173" i="6" s="1"/>
  <c r="F179" i="6" s="1"/>
  <c r="F181" i="6" s="1"/>
  <c r="E196" i="6"/>
  <c r="F197" i="6" s="1"/>
  <c r="F203" i="6" s="1"/>
  <c r="E208" i="6"/>
  <c r="E220" i="6"/>
  <c r="F221" i="6" s="1"/>
  <c r="F245" i="6"/>
  <c r="F263" i="6"/>
  <c r="F265" i="6" s="1"/>
  <c r="E268" i="6"/>
  <c r="F269" i="6" s="1"/>
  <c r="E280" i="6"/>
  <c r="F281" i="6" s="1"/>
  <c r="F287" i="6" s="1"/>
  <c r="E292" i="6"/>
  <c r="F293" i="6" s="1"/>
  <c r="F299" i="6" s="1"/>
  <c r="F25" i="6" s="1"/>
  <c r="E304" i="6"/>
  <c r="F305" i="6" s="1"/>
  <c r="F311" i="6" s="1"/>
  <c r="F313" i="6" s="1"/>
  <c r="E316" i="6"/>
  <c r="F317" i="6" s="1"/>
  <c r="E340" i="6"/>
  <c r="F341" i="6" s="1"/>
  <c r="F347" i="6" s="1"/>
  <c r="E364" i="6"/>
  <c r="F365" i="6" s="1"/>
  <c r="F371" i="6" s="1"/>
  <c r="F31" i="6" s="1"/>
  <c r="L236" i="6"/>
  <c r="N236" i="6" s="1"/>
  <c r="Q236" i="6" s="1"/>
  <c r="L237" i="6"/>
  <c r="E97" i="13"/>
  <c r="F98" i="13" s="1"/>
  <c r="L97" i="13"/>
  <c r="N97" i="13" s="1"/>
  <c r="Q97" i="13" s="1"/>
  <c r="S97" i="13" s="1"/>
  <c r="S98" i="13" s="1"/>
  <c r="M104" i="13"/>
  <c r="M10" i="13" s="1"/>
  <c r="L114" i="5"/>
  <c r="N114" i="5" s="1"/>
  <c r="Q114" i="5" s="1"/>
  <c r="E85" i="3"/>
  <c r="U352" i="6"/>
  <c r="U353" i="6" s="1"/>
  <c r="M349" i="6"/>
  <c r="B341" i="6"/>
  <c r="L340" i="6"/>
  <c r="N340" i="6" s="1"/>
  <c r="Q340" i="6" s="1"/>
  <c r="L344" i="6"/>
  <c r="N344" i="6" s="1"/>
  <c r="Q344" i="6" s="1"/>
  <c r="L345" i="6"/>
  <c r="N345" i="6" s="1"/>
  <c r="Q345" i="6" s="1"/>
  <c r="M347" i="6"/>
  <c r="M29" i="6" s="1"/>
  <c r="F601" i="5"/>
  <c r="F607" i="5" s="1"/>
  <c r="F49" i="5" s="1"/>
  <c r="F589" i="5"/>
  <c r="F595" i="5" s="1"/>
  <c r="F597" i="5" s="1"/>
  <c r="F565" i="5"/>
  <c r="E528" i="5"/>
  <c r="F529" i="5" s="1"/>
  <c r="F535" i="5" s="1"/>
  <c r="F43" i="5" s="1"/>
  <c r="E504" i="5"/>
  <c r="F505" i="5" s="1"/>
  <c r="F511" i="5" s="1"/>
  <c r="F513" i="5" s="1"/>
  <c r="E516" i="5"/>
  <c r="F517" i="5" s="1"/>
  <c r="E492" i="5"/>
  <c r="F499" i="5" s="1"/>
  <c r="F501" i="5" s="1"/>
  <c r="E480" i="5"/>
  <c r="F487" i="5" s="1"/>
  <c r="E468" i="5"/>
  <c r="E456" i="5"/>
  <c r="F451" i="5"/>
  <c r="F421" i="5"/>
  <c r="F427" i="5" s="1"/>
  <c r="F391" i="5"/>
  <c r="E348" i="5"/>
  <c r="F349" i="5" s="1"/>
  <c r="F355" i="5" s="1"/>
  <c r="F357" i="5" s="1"/>
  <c r="E335" i="5"/>
  <c r="E311" i="5"/>
  <c r="F312" i="5" s="1"/>
  <c r="F318" i="5" s="1"/>
  <c r="F320" i="5" s="1"/>
  <c r="E299" i="5"/>
  <c r="F300" i="5" s="1"/>
  <c r="F306" i="5" s="1"/>
  <c r="F308" i="5" s="1"/>
  <c r="E287" i="5"/>
  <c r="F288" i="5" s="1"/>
  <c r="F294" i="5" s="1"/>
  <c r="F296" i="5" s="1"/>
  <c r="E275" i="5"/>
  <c r="F276" i="5" s="1"/>
  <c r="F282" i="5" s="1"/>
  <c r="E263" i="5"/>
  <c r="F264" i="5" s="1"/>
  <c r="F270" i="5" s="1"/>
  <c r="F21" i="5" s="1"/>
  <c r="E251" i="5"/>
  <c r="F252" i="5" s="1"/>
  <c r="F258" i="5" s="1"/>
  <c r="F260" i="5" s="1"/>
  <c r="E239" i="5"/>
  <c r="F240" i="5" s="1"/>
  <c r="F246" i="5" s="1"/>
  <c r="F248" i="5" s="1"/>
  <c r="E227" i="5"/>
  <c r="F228" i="5" s="1"/>
  <c r="F234" i="5" s="1"/>
  <c r="F236" i="5" s="1"/>
  <c r="F216" i="5"/>
  <c r="F222" i="5" s="1"/>
  <c r="E203" i="5"/>
  <c r="F204" i="5" s="1"/>
  <c r="E191" i="5"/>
  <c r="F192" i="5" s="1"/>
  <c r="F198" i="5" s="1"/>
  <c r="F200" i="5" s="1"/>
  <c r="E177" i="5"/>
  <c r="E165" i="5"/>
  <c r="F166" i="5" s="1"/>
  <c r="F172" i="5" s="1"/>
  <c r="F154" i="5"/>
  <c r="F141" i="5"/>
  <c r="B83" i="5"/>
  <c r="E83" i="5" s="1"/>
  <c r="F84" i="5" s="1"/>
  <c r="J83" i="5"/>
  <c r="F83" i="5"/>
  <c r="F94" i="5"/>
  <c r="F60" i="5"/>
  <c r="F66" i="5" s="1"/>
  <c r="E21" i="21" s="1"/>
  <c r="G18" i="19"/>
  <c r="G24" i="19" s="1"/>
  <c r="F35" i="21" s="1"/>
  <c r="B41" i="19"/>
  <c r="T40" i="19" s="1"/>
  <c r="E60" i="19"/>
  <c r="F61" i="19" s="1"/>
  <c r="E72" i="19"/>
  <c r="F73" i="19" s="1"/>
  <c r="F87" i="19"/>
  <c r="F93" i="19" s="1"/>
  <c r="F95" i="19" s="1"/>
  <c r="B87" i="19"/>
  <c r="H19" i="19"/>
  <c r="H24" i="19" s="1"/>
  <c r="H7" i="19" s="1"/>
  <c r="I19" i="19"/>
  <c r="B88" i="19"/>
  <c r="H88" i="19" s="1"/>
  <c r="H93" i="19" s="1"/>
  <c r="H10" i="19" s="1"/>
  <c r="L45" i="19"/>
  <c r="N45" i="19" s="1"/>
  <c r="Q45" i="19" s="1"/>
  <c r="L90" i="19"/>
  <c r="N90" i="19" s="1"/>
  <c r="Q90" i="19" s="1"/>
  <c r="N22" i="19"/>
  <c r="Q22" i="19" s="1"/>
  <c r="L46" i="19"/>
  <c r="N46" i="19" s="1"/>
  <c r="Q46" i="19" s="1"/>
  <c r="Q91" i="19"/>
  <c r="N17" i="19"/>
  <c r="Q17" i="19" s="1"/>
  <c r="L30" i="19"/>
  <c r="L31" i="19"/>
  <c r="N31" i="19" s="1"/>
  <c r="L32" i="19"/>
  <c r="N32" i="19" s="1"/>
  <c r="Q32" i="19" s="1"/>
  <c r="L33" i="19"/>
  <c r="N33" i="19" s="1"/>
  <c r="Q33" i="19" s="1"/>
  <c r="L34" i="19"/>
  <c r="N34" i="19" s="1"/>
  <c r="Q34" i="19" s="1"/>
  <c r="L35" i="19"/>
  <c r="N35" i="19" s="1"/>
  <c r="Q35" i="19" s="1"/>
  <c r="L36" i="19"/>
  <c r="N36" i="19" s="1"/>
  <c r="Q36" i="19" s="1"/>
  <c r="L37" i="19"/>
  <c r="N37" i="19" s="1"/>
  <c r="Q37" i="19" s="1"/>
  <c r="L38" i="19"/>
  <c r="N38" i="19" s="1"/>
  <c r="Q38" i="19" s="1"/>
  <c r="L39" i="19"/>
  <c r="N39" i="19" s="1"/>
  <c r="Q39" i="19" s="1"/>
  <c r="L60" i="19"/>
  <c r="N60" i="19" s="1"/>
  <c r="Q60" i="19" s="1"/>
  <c r="L72" i="19"/>
  <c r="N72" i="19" s="1"/>
  <c r="Q72" i="19" s="1"/>
  <c r="L86" i="19"/>
  <c r="N86" i="19" s="1"/>
  <c r="Q86" i="19" s="1"/>
  <c r="E31" i="18"/>
  <c r="F32" i="18" s="1"/>
  <c r="I32" i="18" s="1"/>
  <c r="B60" i="18"/>
  <c r="F79" i="18"/>
  <c r="F85" i="18" s="1"/>
  <c r="E90" i="18"/>
  <c r="F91" i="18" s="1"/>
  <c r="F105" i="18"/>
  <c r="F111" i="18" s="1"/>
  <c r="F10" i="18" s="1"/>
  <c r="B105" i="18"/>
  <c r="F117" i="18"/>
  <c r="F123" i="18" s="1"/>
  <c r="B117" i="18"/>
  <c r="E128" i="18"/>
  <c r="F129" i="18" s="1"/>
  <c r="F135" i="18" s="1"/>
  <c r="F137" i="18" s="1"/>
  <c r="B129" i="18"/>
  <c r="E152" i="18"/>
  <c r="F153" i="18" s="1"/>
  <c r="F159" i="18" s="1"/>
  <c r="F14" i="18" s="1"/>
  <c r="B153" i="18"/>
  <c r="B165" i="18"/>
  <c r="F183" i="18"/>
  <c r="F16" i="18" s="1"/>
  <c r="E200" i="18"/>
  <c r="B201" i="18"/>
  <c r="F219" i="18"/>
  <c r="F19" i="18" s="1"/>
  <c r="E236" i="18"/>
  <c r="F237" i="18" s="1"/>
  <c r="B237" i="18"/>
  <c r="E248" i="18"/>
  <c r="F249" i="18" s="1"/>
  <c r="F255" i="18" s="1"/>
  <c r="F22" i="18" s="1"/>
  <c r="B249" i="18"/>
  <c r="E260" i="18"/>
  <c r="B261" i="18"/>
  <c r="E272" i="18"/>
  <c r="F273" i="18" s="1"/>
  <c r="F279" i="18" s="1"/>
  <c r="B273" i="18"/>
  <c r="I33" i="18"/>
  <c r="B61" i="18"/>
  <c r="B106" i="18"/>
  <c r="B118" i="18"/>
  <c r="B130" i="18"/>
  <c r="B154" i="18"/>
  <c r="B166" i="18"/>
  <c r="B202" i="18"/>
  <c r="B238" i="18"/>
  <c r="B250" i="18"/>
  <c r="B262" i="18"/>
  <c r="B274" i="18"/>
  <c r="X10" i="18"/>
  <c r="L120" i="18"/>
  <c r="N120" i="18" s="1"/>
  <c r="Q120" i="18" s="1"/>
  <c r="L132" i="18"/>
  <c r="N132" i="18" s="1"/>
  <c r="Q132" i="18" s="1"/>
  <c r="N156" i="18"/>
  <c r="Q156" i="18" s="1"/>
  <c r="L168" i="18"/>
  <c r="N168" i="18" s="1"/>
  <c r="Q168" i="18" s="1"/>
  <c r="L204" i="18"/>
  <c r="N204" i="18" s="1"/>
  <c r="Q204" i="18" s="1"/>
  <c r="L240" i="18"/>
  <c r="N240" i="18" s="1"/>
  <c r="Q240" i="18" s="1"/>
  <c r="N252" i="18"/>
  <c r="Q252" i="18" s="1"/>
  <c r="L264" i="18"/>
  <c r="N264" i="18" s="1"/>
  <c r="Q264" i="18" s="1"/>
  <c r="L276" i="18"/>
  <c r="N276" i="18" s="1"/>
  <c r="Q276" i="18" s="1"/>
  <c r="L109" i="18"/>
  <c r="N109" i="18" s="1"/>
  <c r="Q109" i="18" s="1"/>
  <c r="N121" i="18"/>
  <c r="Q121" i="18" s="1"/>
  <c r="L133" i="18"/>
  <c r="N133" i="18" s="1"/>
  <c r="Q133" i="18" s="1"/>
  <c r="L157" i="18"/>
  <c r="N157" i="18" s="1"/>
  <c r="Q157" i="18" s="1"/>
  <c r="L169" i="18"/>
  <c r="N169" i="18" s="1"/>
  <c r="Q169" i="18" s="1"/>
  <c r="L205" i="18"/>
  <c r="N205" i="18" s="1"/>
  <c r="Q205" i="18" s="1"/>
  <c r="L241" i="18"/>
  <c r="N241" i="18" s="1"/>
  <c r="Q241" i="18" s="1"/>
  <c r="N253" i="18"/>
  <c r="Q253" i="18" s="1"/>
  <c r="L265" i="18"/>
  <c r="N265" i="18" s="1"/>
  <c r="Q265" i="18" s="1"/>
  <c r="L277" i="18"/>
  <c r="N277" i="18" s="1"/>
  <c r="Q277" i="18" s="1"/>
  <c r="X13" i="18"/>
  <c r="L31" i="18"/>
  <c r="N31" i="18" s="1"/>
  <c r="Q31" i="18" s="1"/>
  <c r="L104" i="18"/>
  <c r="N104" i="18" s="1"/>
  <c r="Q104" i="18" s="1"/>
  <c r="L59" i="18"/>
  <c r="N59" i="18" s="1"/>
  <c r="Q59" i="18" s="1"/>
  <c r="L78" i="18"/>
  <c r="N78" i="18" s="1"/>
  <c r="L90" i="18"/>
  <c r="L128" i="18"/>
  <c r="N128" i="18" s="1"/>
  <c r="Q128" i="18" s="1"/>
  <c r="L152" i="18"/>
  <c r="N152" i="18" s="1"/>
  <c r="Q152" i="18" s="1"/>
  <c r="L164" i="18"/>
  <c r="N164" i="18" s="1"/>
  <c r="Q164" i="18" s="1"/>
  <c r="L188" i="18"/>
  <c r="N188" i="18" s="1"/>
  <c r="Q188" i="18" s="1"/>
  <c r="L200" i="18"/>
  <c r="N200" i="18" s="1"/>
  <c r="Q200" i="18" s="1"/>
  <c r="L212" i="18"/>
  <c r="N212" i="18" s="1"/>
  <c r="Q212" i="18" s="1"/>
  <c r="L224" i="18"/>
  <c r="N224" i="18" s="1"/>
  <c r="Q224" i="18" s="1"/>
  <c r="L236" i="18"/>
  <c r="N236" i="18" s="1"/>
  <c r="Q236" i="18" s="1"/>
  <c r="N248" i="18"/>
  <c r="Q248" i="18" s="1"/>
  <c r="L260" i="18"/>
  <c r="N260" i="18" s="1"/>
  <c r="Q260" i="18" s="1"/>
  <c r="L272" i="18"/>
  <c r="N272" i="18" s="1"/>
  <c r="Q272" i="18" s="1"/>
  <c r="L17" i="17"/>
  <c r="N17" i="17" s="1"/>
  <c r="Q17" i="17" s="1"/>
  <c r="L30" i="17"/>
  <c r="N30" i="17" s="1"/>
  <c r="L31" i="17"/>
  <c r="N31" i="17" s="1"/>
  <c r="L32" i="17"/>
  <c r="N32" i="17" s="1"/>
  <c r="L33" i="17"/>
  <c r="N33" i="17" s="1"/>
  <c r="L34" i="17"/>
  <c r="L58" i="17"/>
  <c r="N58" i="17" s="1"/>
  <c r="L70" i="17"/>
  <c r="N70" i="17" s="1"/>
  <c r="F18" i="17"/>
  <c r="I18" i="17" s="1"/>
  <c r="B39" i="17"/>
  <c r="G39" i="17"/>
  <c r="E58" i="17"/>
  <c r="F59" i="17" s="1"/>
  <c r="E70" i="17"/>
  <c r="F71" i="17" s="1"/>
  <c r="I19" i="17"/>
  <c r="L43" i="17"/>
  <c r="N43" i="17" s="1"/>
  <c r="Q43" i="17" s="1"/>
  <c r="L22" i="17"/>
  <c r="N22" i="17" s="1"/>
  <c r="Q22" i="17" s="1"/>
  <c r="L44" i="17"/>
  <c r="N44" i="17" s="1"/>
  <c r="Q44" i="17" s="1"/>
  <c r="B44" i="16"/>
  <c r="T37" i="16" s="1"/>
  <c r="G44" i="16"/>
  <c r="E63" i="16"/>
  <c r="F64" i="16" s="1"/>
  <c r="E75" i="16"/>
  <c r="F76" i="16" s="1"/>
  <c r="E89" i="16"/>
  <c r="F90" i="16" s="1"/>
  <c r="B90" i="16"/>
  <c r="E101" i="16"/>
  <c r="F102" i="16" s="1"/>
  <c r="F108" i="16" s="1"/>
  <c r="B102" i="16"/>
  <c r="E113" i="16"/>
  <c r="F114" i="16" s="1"/>
  <c r="F120" i="16" s="1"/>
  <c r="F122" i="16" s="1"/>
  <c r="B114" i="16"/>
  <c r="B91" i="16"/>
  <c r="B103" i="16"/>
  <c r="B115" i="16"/>
  <c r="L23" i="16"/>
  <c r="N23" i="16" s="1"/>
  <c r="Q23" i="16" s="1"/>
  <c r="L48" i="16"/>
  <c r="N48" i="16" s="1"/>
  <c r="Q48" i="16" s="1"/>
  <c r="L93" i="16"/>
  <c r="N93" i="16" s="1"/>
  <c r="Q93" i="16" s="1"/>
  <c r="Q105" i="16"/>
  <c r="L117" i="16"/>
  <c r="N117" i="16" s="1"/>
  <c r="Q117" i="16" s="1"/>
  <c r="L24" i="16"/>
  <c r="N24" i="16" s="1"/>
  <c r="Q24" i="16" s="1"/>
  <c r="L49" i="16"/>
  <c r="N49" i="16" s="1"/>
  <c r="Q49" i="16" s="1"/>
  <c r="L94" i="16"/>
  <c r="N94" i="16" s="1"/>
  <c r="Q94" i="16" s="1"/>
  <c r="L106" i="16"/>
  <c r="N106" i="16" s="1"/>
  <c r="Q106" i="16" s="1"/>
  <c r="L118" i="16"/>
  <c r="N118" i="16" s="1"/>
  <c r="Q118" i="16" s="1"/>
  <c r="L19" i="16"/>
  <c r="N19" i="16" s="1"/>
  <c r="L32" i="16"/>
  <c r="N32" i="16" s="1"/>
  <c r="L33" i="16"/>
  <c r="N33" i="16" s="1"/>
  <c r="L34" i="16"/>
  <c r="N34" i="16" s="1"/>
  <c r="L35" i="16"/>
  <c r="N35" i="16" s="1"/>
  <c r="L36" i="16"/>
  <c r="N36" i="16" s="1"/>
  <c r="L37" i="16"/>
  <c r="N37" i="16" s="1"/>
  <c r="L38" i="16"/>
  <c r="N38" i="16" s="1"/>
  <c r="L39" i="16"/>
  <c r="N39" i="16" s="1"/>
  <c r="L40" i="16"/>
  <c r="N40" i="16" s="1"/>
  <c r="L41" i="16"/>
  <c r="N41" i="16" s="1"/>
  <c r="L42" i="16"/>
  <c r="N42" i="16" s="1"/>
  <c r="L63" i="16"/>
  <c r="N63" i="16" s="1"/>
  <c r="L75" i="16"/>
  <c r="N75" i="16" s="1"/>
  <c r="L89" i="16"/>
  <c r="N89" i="16" s="1"/>
  <c r="Q101" i="16"/>
  <c r="L113" i="16"/>
  <c r="N113" i="16" s="1"/>
  <c r="Q113" i="16" s="1"/>
  <c r="F90" i="15"/>
  <c r="E103" i="15"/>
  <c r="F104" i="15" s="1"/>
  <c r="F110" i="15" s="1"/>
  <c r="E115" i="15"/>
  <c r="F116" i="15" s="1"/>
  <c r="B116" i="15"/>
  <c r="E127" i="15"/>
  <c r="F128" i="15" s="1"/>
  <c r="F134" i="15" s="1"/>
  <c r="F136" i="15" s="1"/>
  <c r="B128" i="15"/>
  <c r="E139" i="15"/>
  <c r="F140" i="15" s="1"/>
  <c r="F146" i="15" s="1"/>
  <c r="F13" i="15" s="1"/>
  <c r="B140" i="15"/>
  <c r="E151" i="15"/>
  <c r="F152" i="15" s="1"/>
  <c r="B152" i="15"/>
  <c r="B164" i="15"/>
  <c r="E175" i="15"/>
  <c r="F176" i="15" s="1"/>
  <c r="F182" i="15" s="1"/>
  <c r="F16" i="15" s="1"/>
  <c r="B176" i="15"/>
  <c r="F188" i="15"/>
  <c r="B188" i="15"/>
  <c r="F200" i="15"/>
  <c r="F206" i="15" s="1"/>
  <c r="B200" i="15"/>
  <c r="B224" i="15"/>
  <c r="E235" i="15"/>
  <c r="F236" i="15" s="1"/>
  <c r="F242" i="15" s="1"/>
  <c r="F21" i="15" s="1"/>
  <c r="B236" i="15"/>
  <c r="F248" i="15"/>
  <c r="B248" i="15"/>
  <c r="F260" i="15"/>
  <c r="B260" i="15"/>
  <c r="H32" i="15"/>
  <c r="H37" i="15" s="1"/>
  <c r="I32" i="15"/>
  <c r="B105" i="15"/>
  <c r="B117" i="15"/>
  <c r="B129" i="15"/>
  <c r="B141" i="15"/>
  <c r="B153" i="15"/>
  <c r="B165" i="15"/>
  <c r="B177" i="15"/>
  <c r="B189" i="15"/>
  <c r="B201" i="15"/>
  <c r="B225" i="15"/>
  <c r="B237" i="15"/>
  <c r="B249" i="15"/>
  <c r="B261" i="15"/>
  <c r="L34" i="15"/>
  <c r="N34" i="15" s="1"/>
  <c r="Q34" i="15" s="1"/>
  <c r="L62" i="15"/>
  <c r="N62" i="15" s="1"/>
  <c r="Q62" i="15" s="1"/>
  <c r="L107" i="15"/>
  <c r="N107" i="15" s="1"/>
  <c r="Q107" i="15" s="1"/>
  <c r="L119" i="15"/>
  <c r="N119" i="15" s="1"/>
  <c r="Q119" i="15" s="1"/>
  <c r="L131" i="15"/>
  <c r="N131" i="15" s="1"/>
  <c r="Q131" i="15" s="1"/>
  <c r="L143" i="15"/>
  <c r="N143" i="15" s="1"/>
  <c r="Q143" i="15" s="1"/>
  <c r="L155" i="15"/>
  <c r="N155" i="15" s="1"/>
  <c r="Q155" i="15" s="1"/>
  <c r="N167" i="15"/>
  <c r="Q167" i="15" s="1"/>
  <c r="L179" i="15"/>
  <c r="N179" i="15" s="1"/>
  <c r="Q179" i="15" s="1"/>
  <c r="L191" i="15"/>
  <c r="N191" i="15" s="1"/>
  <c r="Q191" i="15" s="1"/>
  <c r="L227" i="15"/>
  <c r="N227" i="15" s="1"/>
  <c r="Q227" i="15" s="1"/>
  <c r="L239" i="15"/>
  <c r="N239" i="15" s="1"/>
  <c r="Q239" i="15" s="1"/>
  <c r="Q251" i="15"/>
  <c r="L263" i="15"/>
  <c r="N263" i="15" s="1"/>
  <c r="Q263" i="15" s="1"/>
  <c r="L203" i="15"/>
  <c r="N203" i="15" s="1"/>
  <c r="Q203" i="15" s="1"/>
  <c r="L35" i="15"/>
  <c r="L63" i="15"/>
  <c r="N63" i="15" s="1"/>
  <c r="Q63" i="15" s="1"/>
  <c r="N108" i="15"/>
  <c r="Q108" i="15" s="1"/>
  <c r="L120" i="15"/>
  <c r="N120" i="15" s="1"/>
  <c r="Q120" i="15" s="1"/>
  <c r="L132" i="15"/>
  <c r="N132" i="15" s="1"/>
  <c r="Q132" i="15" s="1"/>
  <c r="L144" i="15"/>
  <c r="N144" i="15" s="1"/>
  <c r="Q144" i="15" s="1"/>
  <c r="L156" i="15"/>
  <c r="N156" i="15" s="1"/>
  <c r="Q156" i="15" s="1"/>
  <c r="L168" i="15"/>
  <c r="N168" i="15" s="1"/>
  <c r="Q168" i="15" s="1"/>
  <c r="L180" i="15"/>
  <c r="N180" i="15" s="1"/>
  <c r="Q180" i="15" s="1"/>
  <c r="L192" i="15"/>
  <c r="N192" i="15" s="1"/>
  <c r="Q192" i="15" s="1"/>
  <c r="L228" i="15"/>
  <c r="N228" i="15" s="1"/>
  <c r="Q228" i="15" s="1"/>
  <c r="L240" i="15"/>
  <c r="N240" i="15" s="1"/>
  <c r="Q240" i="15" s="1"/>
  <c r="L252" i="15"/>
  <c r="N252" i="15" s="1"/>
  <c r="Q252" i="15" s="1"/>
  <c r="L264" i="15"/>
  <c r="N264" i="15" s="1"/>
  <c r="Q264" i="15" s="1"/>
  <c r="L204" i="15"/>
  <c r="N204" i="15" s="1"/>
  <c r="Q204" i="15" s="1"/>
  <c r="L30" i="15"/>
  <c r="N30" i="15" s="1"/>
  <c r="Q30" i="15" s="1"/>
  <c r="L43" i="15"/>
  <c r="N44" i="15"/>
  <c r="Q44" i="15" s="1"/>
  <c r="N45" i="15"/>
  <c r="Q45" i="15" s="1"/>
  <c r="N46" i="15"/>
  <c r="N47" i="15"/>
  <c r="Q47" i="15" s="1"/>
  <c r="N48" i="15"/>
  <c r="Q48" i="15" s="1"/>
  <c r="N50" i="15"/>
  <c r="Q50" i="15" s="1"/>
  <c r="N51" i="15"/>
  <c r="Q51" i="15" s="1"/>
  <c r="N52" i="15"/>
  <c r="Q52" i="15" s="1"/>
  <c r="N53" i="15"/>
  <c r="Q53" i="15" s="1"/>
  <c r="N54" i="15"/>
  <c r="Q54" i="15" s="1"/>
  <c r="L77" i="15"/>
  <c r="N77" i="15" s="1"/>
  <c r="Q77" i="15" s="1"/>
  <c r="L103" i="15"/>
  <c r="N103" i="15" s="1"/>
  <c r="Q103" i="15" s="1"/>
  <c r="L115" i="15"/>
  <c r="L127" i="15"/>
  <c r="N127" i="15" s="1"/>
  <c r="Q127" i="15" s="1"/>
  <c r="L139" i="15"/>
  <c r="L151" i="15"/>
  <c r="N151" i="15" s="1"/>
  <c r="Q151" i="15" s="1"/>
  <c r="L163" i="15"/>
  <c r="N163" i="15" s="1"/>
  <c r="Q163" i="15" s="1"/>
  <c r="L175" i="15"/>
  <c r="N175" i="15" s="1"/>
  <c r="Q175" i="15" s="1"/>
  <c r="L187" i="15"/>
  <c r="N187" i="15" s="1"/>
  <c r="Q187" i="15" s="1"/>
  <c r="L223" i="15"/>
  <c r="N223" i="15" s="1"/>
  <c r="Q223" i="15" s="1"/>
  <c r="L235" i="15"/>
  <c r="N235" i="15" s="1"/>
  <c r="Q235" i="15" s="1"/>
  <c r="L247" i="15"/>
  <c r="N247" i="15" s="1"/>
  <c r="Q247" i="15" s="1"/>
  <c r="L259" i="15"/>
  <c r="N259" i="15" s="1"/>
  <c r="Q259" i="15" s="1"/>
  <c r="E17" i="14"/>
  <c r="B37" i="14"/>
  <c r="G37" i="14"/>
  <c r="C37" i="14"/>
  <c r="C44" i="14" s="1"/>
  <c r="C8" i="14" s="1"/>
  <c r="E82" i="14"/>
  <c r="F83" i="14" s="1"/>
  <c r="F89" i="14" s="1"/>
  <c r="B83" i="14"/>
  <c r="H19" i="14"/>
  <c r="H24" i="14" s="1"/>
  <c r="G30" i="21" s="1"/>
  <c r="I19" i="14"/>
  <c r="B84" i="14"/>
  <c r="L86" i="14"/>
  <c r="N86" i="14" s="1"/>
  <c r="Q86" i="14" s="1"/>
  <c r="L22" i="14"/>
  <c r="N22" i="14" s="1"/>
  <c r="Q22" i="14" s="1"/>
  <c r="N42" i="14"/>
  <c r="Q42" i="14" s="1"/>
  <c r="L87" i="14"/>
  <c r="N87" i="14" s="1"/>
  <c r="Q87" i="14" s="1"/>
  <c r="L17" i="14"/>
  <c r="N17" i="14" s="1"/>
  <c r="Q17" i="14" s="1"/>
  <c r="L30" i="14"/>
  <c r="N30" i="14" s="1"/>
  <c r="Q30" i="14" s="1"/>
  <c r="N31" i="14"/>
  <c r="Q31" i="14" s="1"/>
  <c r="L32" i="14"/>
  <c r="N32" i="14" s="1"/>
  <c r="Q32" i="14" s="1"/>
  <c r="L33" i="14"/>
  <c r="N33" i="14" s="1"/>
  <c r="Q33" i="14" s="1"/>
  <c r="N34" i="14"/>
  <c r="Q34" i="14" s="1"/>
  <c r="L35" i="14"/>
  <c r="N35" i="14" s="1"/>
  <c r="Q35" i="14" s="1"/>
  <c r="L56" i="14"/>
  <c r="N56" i="14" s="1"/>
  <c r="Q56" i="14" s="1"/>
  <c r="L68" i="14"/>
  <c r="N68" i="14" s="1"/>
  <c r="Q68" i="14" s="1"/>
  <c r="N82" i="14"/>
  <c r="Q82" i="14" s="1"/>
  <c r="E30" i="13"/>
  <c r="F31" i="13" s="1"/>
  <c r="B52" i="13"/>
  <c r="B56" i="13" s="1"/>
  <c r="G52" i="13"/>
  <c r="E71" i="13"/>
  <c r="F72" i="13" s="1"/>
  <c r="E83" i="13"/>
  <c r="F84" i="13" s="1"/>
  <c r="B84" i="13"/>
  <c r="E109" i="13"/>
  <c r="F110" i="13" s="1"/>
  <c r="F116" i="13" s="1"/>
  <c r="F11" i="13" s="1"/>
  <c r="B110" i="13"/>
  <c r="E121" i="13"/>
  <c r="F122" i="13" s="1"/>
  <c r="F128" i="13" s="1"/>
  <c r="E133" i="13"/>
  <c r="F134" i="13" s="1"/>
  <c r="F140" i="13" s="1"/>
  <c r="F13" i="13" s="1"/>
  <c r="B134" i="13"/>
  <c r="F146" i="13"/>
  <c r="F152" i="13" s="1"/>
  <c r="F14" i="13" s="1"/>
  <c r="B146" i="13"/>
  <c r="E157" i="13"/>
  <c r="F158" i="13" s="1"/>
  <c r="F164" i="13" s="1"/>
  <c r="B158" i="13"/>
  <c r="E169" i="13"/>
  <c r="F170" i="13" s="1"/>
  <c r="F176" i="13" s="1"/>
  <c r="F16" i="13" s="1"/>
  <c r="B170" i="13"/>
  <c r="E181" i="13"/>
  <c r="F182" i="13" s="1"/>
  <c r="F188" i="13" s="1"/>
  <c r="F17" i="13" s="1"/>
  <c r="B182" i="13"/>
  <c r="B194" i="13"/>
  <c r="F206" i="13"/>
  <c r="B206" i="13"/>
  <c r="B218" i="13"/>
  <c r="B230" i="13"/>
  <c r="E241" i="13"/>
  <c r="F242" i="13" s="1"/>
  <c r="F248" i="13" s="1"/>
  <c r="F22" i="13" s="1"/>
  <c r="B242" i="13"/>
  <c r="E253" i="13"/>
  <c r="F254" i="13" s="1"/>
  <c r="B254" i="13"/>
  <c r="I32" i="13"/>
  <c r="B85" i="13"/>
  <c r="B111" i="13"/>
  <c r="B135" i="13"/>
  <c r="B147" i="13"/>
  <c r="B159" i="13"/>
  <c r="B171" i="13"/>
  <c r="B183" i="13"/>
  <c r="B195" i="13"/>
  <c r="B207" i="13"/>
  <c r="B219" i="13"/>
  <c r="B231" i="13"/>
  <c r="B243" i="13"/>
  <c r="B255" i="13"/>
  <c r="X10" i="13"/>
  <c r="L34" i="13"/>
  <c r="N34" i="13" s="1"/>
  <c r="Q34" i="13" s="1"/>
  <c r="B90" i="13"/>
  <c r="N113" i="13"/>
  <c r="Q113" i="13" s="1"/>
  <c r="L125" i="13"/>
  <c r="N125" i="13" s="1"/>
  <c r="Q125" i="13" s="1"/>
  <c r="L137" i="13"/>
  <c r="N137" i="13" s="1"/>
  <c r="Q137" i="13" s="1"/>
  <c r="L149" i="13"/>
  <c r="N149" i="13" s="1"/>
  <c r="Q149" i="13" s="1"/>
  <c r="L161" i="13"/>
  <c r="N161" i="13" s="1"/>
  <c r="Q161" i="13" s="1"/>
  <c r="L173" i="13"/>
  <c r="N173" i="13" s="1"/>
  <c r="Q173" i="13" s="1"/>
  <c r="L185" i="13"/>
  <c r="N185" i="13" s="1"/>
  <c r="Q185" i="13" s="1"/>
  <c r="L209" i="13"/>
  <c r="N209" i="13" s="1"/>
  <c r="Q209" i="13" s="1"/>
  <c r="L221" i="13"/>
  <c r="N221" i="13" s="1"/>
  <c r="Q221" i="13" s="1"/>
  <c r="L233" i="13"/>
  <c r="N233" i="13" s="1"/>
  <c r="Q233" i="13" s="1"/>
  <c r="L245" i="13"/>
  <c r="N245" i="13" s="1"/>
  <c r="Q245" i="13" s="1"/>
  <c r="L257" i="13"/>
  <c r="N257" i="13" s="1"/>
  <c r="Q257" i="13" s="1"/>
  <c r="L35" i="13"/>
  <c r="N35" i="13" s="1"/>
  <c r="Q35" i="13" s="1"/>
  <c r="L57" i="13"/>
  <c r="N57" i="13" s="1"/>
  <c r="Q57" i="13" s="1"/>
  <c r="S56" i="13" s="1"/>
  <c r="N102" i="13"/>
  <c r="Q102" i="13" s="1"/>
  <c r="Q114" i="13"/>
  <c r="L126" i="13"/>
  <c r="N126" i="13" s="1"/>
  <c r="Q126" i="13" s="1"/>
  <c r="L138" i="13"/>
  <c r="N138" i="13" s="1"/>
  <c r="Q138" i="13" s="1"/>
  <c r="L150" i="13"/>
  <c r="N150" i="13" s="1"/>
  <c r="Q150" i="13" s="1"/>
  <c r="L162" i="13"/>
  <c r="L174" i="13"/>
  <c r="N174" i="13" s="1"/>
  <c r="Q174" i="13" s="1"/>
  <c r="L186" i="13"/>
  <c r="N186" i="13" s="1"/>
  <c r="Q186" i="13" s="1"/>
  <c r="L198" i="13"/>
  <c r="N198" i="13" s="1"/>
  <c r="Q198" i="13" s="1"/>
  <c r="L210" i="13"/>
  <c r="N210" i="13" s="1"/>
  <c r="Q210" i="13" s="1"/>
  <c r="L222" i="13"/>
  <c r="N222" i="13" s="1"/>
  <c r="Q222" i="13" s="1"/>
  <c r="L234" i="13"/>
  <c r="N234" i="13" s="1"/>
  <c r="Q234" i="13" s="1"/>
  <c r="L246" i="13"/>
  <c r="N246" i="13" s="1"/>
  <c r="Q246" i="13" s="1"/>
  <c r="Q258" i="13"/>
  <c r="X13" i="13"/>
  <c r="L30" i="13"/>
  <c r="N30" i="13" s="1"/>
  <c r="Q30" i="13" s="1"/>
  <c r="L43" i="13"/>
  <c r="N43" i="13" s="1"/>
  <c r="Q43" i="13" s="1"/>
  <c r="L44" i="13"/>
  <c r="N44" i="13" s="1"/>
  <c r="Q44" i="13" s="1"/>
  <c r="L45" i="13"/>
  <c r="N45" i="13" s="1"/>
  <c r="L46" i="13"/>
  <c r="N46" i="13" s="1"/>
  <c r="Q46" i="13" s="1"/>
  <c r="L47" i="13"/>
  <c r="N47" i="13" s="1"/>
  <c r="Q47" i="13" s="1"/>
  <c r="L83" i="13"/>
  <c r="N83" i="13" s="1"/>
  <c r="Q83" i="13" s="1"/>
  <c r="L109" i="13"/>
  <c r="N109" i="13" s="1"/>
  <c r="Q109" i="13" s="1"/>
  <c r="L121" i="13"/>
  <c r="N121" i="13" s="1"/>
  <c r="Q121" i="13" s="1"/>
  <c r="L133" i="13"/>
  <c r="N133" i="13" s="1"/>
  <c r="Q133" i="13" s="1"/>
  <c r="L145" i="13"/>
  <c r="L157" i="13"/>
  <c r="N157" i="13" s="1"/>
  <c r="Q157" i="13" s="1"/>
  <c r="L169" i="13"/>
  <c r="N169" i="13" s="1"/>
  <c r="Q169" i="13" s="1"/>
  <c r="L181" i="13"/>
  <c r="N181" i="13" s="1"/>
  <c r="Q181" i="13" s="1"/>
  <c r="Q193" i="13"/>
  <c r="L205" i="13"/>
  <c r="N205" i="13" s="1"/>
  <c r="Q205" i="13" s="1"/>
  <c r="L217" i="13"/>
  <c r="N217" i="13" s="1"/>
  <c r="Q217" i="13" s="1"/>
  <c r="L229" i="13"/>
  <c r="N229" i="13" s="1"/>
  <c r="Q229" i="13" s="1"/>
  <c r="L241" i="13"/>
  <c r="N241" i="13" s="1"/>
  <c r="Q241" i="13" s="1"/>
  <c r="L253" i="13"/>
  <c r="B57" i="12"/>
  <c r="T43" i="12" s="1"/>
  <c r="B89" i="12"/>
  <c r="B103" i="12"/>
  <c r="B115" i="12"/>
  <c r="B127" i="12"/>
  <c r="E138" i="12"/>
  <c r="F139" i="12" s="1"/>
  <c r="B139" i="12"/>
  <c r="B151" i="12"/>
  <c r="B163" i="12"/>
  <c r="E174" i="12"/>
  <c r="F175" i="12" s="1"/>
  <c r="B175" i="12"/>
  <c r="F187" i="12"/>
  <c r="B187" i="12"/>
  <c r="B199" i="12"/>
  <c r="F211" i="12"/>
  <c r="F217" i="12" s="1"/>
  <c r="F219" i="12" s="1"/>
  <c r="B211" i="12"/>
  <c r="I29" i="12"/>
  <c r="B90" i="12"/>
  <c r="B104" i="12"/>
  <c r="B116" i="12"/>
  <c r="B128" i="12"/>
  <c r="B140" i="12"/>
  <c r="B152" i="12"/>
  <c r="B164" i="12"/>
  <c r="B176" i="12"/>
  <c r="B188" i="12"/>
  <c r="B200" i="12"/>
  <c r="B212" i="12"/>
  <c r="N31" i="12"/>
  <c r="Q31" i="12" s="1"/>
  <c r="L61" i="12"/>
  <c r="N61" i="12" s="1"/>
  <c r="Q61" i="12" s="1"/>
  <c r="B95" i="12"/>
  <c r="B41" i="22" s="1"/>
  <c r="L106" i="12"/>
  <c r="N106" i="12" s="1"/>
  <c r="Q106" i="12" s="1"/>
  <c r="L118" i="12"/>
  <c r="N118" i="12" s="1"/>
  <c r="Q118" i="12" s="1"/>
  <c r="L130" i="12"/>
  <c r="N130" i="12" s="1"/>
  <c r="Q130" i="12" s="1"/>
  <c r="L142" i="12"/>
  <c r="N142" i="12" s="1"/>
  <c r="Q142" i="12" s="1"/>
  <c r="L178" i="12"/>
  <c r="N178" i="12" s="1"/>
  <c r="Q178" i="12" s="1"/>
  <c r="L190" i="12"/>
  <c r="N190" i="12" s="1"/>
  <c r="Q190" i="12" s="1"/>
  <c r="L202" i="12"/>
  <c r="N202" i="12" s="1"/>
  <c r="Q202" i="12" s="1"/>
  <c r="L214" i="12"/>
  <c r="L32" i="12"/>
  <c r="L62" i="12"/>
  <c r="N62" i="12" s="1"/>
  <c r="Q62" i="12" s="1"/>
  <c r="L107" i="12"/>
  <c r="N107" i="12" s="1"/>
  <c r="Q107" i="12" s="1"/>
  <c r="L119" i="12"/>
  <c r="N119" i="12" s="1"/>
  <c r="Q119" i="12" s="1"/>
  <c r="L131" i="12"/>
  <c r="N131" i="12" s="1"/>
  <c r="Q131" i="12" s="1"/>
  <c r="L143" i="12"/>
  <c r="N143" i="12" s="1"/>
  <c r="Q143" i="12" s="1"/>
  <c r="L155" i="12"/>
  <c r="N155" i="12" s="1"/>
  <c r="Q155" i="12" s="1"/>
  <c r="L167" i="12"/>
  <c r="N167" i="12" s="1"/>
  <c r="Q167" i="12" s="1"/>
  <c r="L179" i="12"/>
  <c r="N179" i="12" s="1"/>
  <c r="Q179" i="12" s="1"/>
  <c r="L191" i="12"/>
  <c r="N191" i="12" s="1"/>
  <c r="Q191" i="12" s="1"/>
  <c r="L203" i="12"/>
  <c r="N203" i="12" s="1"/>
  <c r="Q203" i="12" s="1"/>
  <c r="L215" i="12"/>
  <c r="L27" i="12"/>
  <c r="N27" i="12" s="1"/>
  <c r="Q27" i="12" s="1"/>
  <c r="L40" i="12"/>
  <c r="N40" i="12" s="1"/>
  <c r="Q40" i="12" s="1"/>
  <c r="L41" i="12"/>
  <c r="N41" i="12" s="1"/>
  <c r="L42" i="12"/>
  <c r="N42" i="12" s="1"/>
  <c r="Q42" i="12" s="1"/>
  <c r="L43" i="12"/>
  <c r="N43" i="12" s="1"/>
  <c r="Q43" i="12" s="1"/>
  <c r="L44" i="12"/>
  <c r="N44" i="12" s="1"/>
  <c r="Q44" i="12" s="1"/>
  <c r="L45" i="12"/>
  <c r="L46" i="12"/>
  <c r="N46" i="12" s="1"/>
  <c r="Q46" i="12" s="1"/>
  <c r="L47" i="12"/>
  <c r="N47" i="12" s="1"/>
  <c r="Q47" i="12" s="1"/>
  <c r="L48" i="12"/>
  <c r="N48" i="12" s="1"/>
  <c r="Q48" i="12" s="1"/>
  <c r="L49" i="12"/>
  <c r="N49" i="12" s="1"/>
  <c r="Q49" i="12" s="1"/>
  <c r="L50" i="12"/>
  <c r="N50" i="12" s="1"/>
  <c r="Q50" i="12" s="1"/>
  <c r="L51" i="12"/>
  <c r="N51" i="12" s="1"/>
  <c r="Q51" i="12" s="1"/>
  <c r="Q52" i="12"/>
  <c r="Q53" i="12"/>
  <c r="Q54" i="12"/>
  <c r="Q55" i="12"/>
  <c r="L76" i="12"/>
  <c r="N76" i="12" s="1"/>
  <c r="Q76" i="12" s="1"/>
  <c r="L88" i="12"/>
  <c r="N88" i="12" s="1"/>
  <c r="Q88" i="12" s="1"/>
  <c r="L102" i="12"/>
  <c r="N102" i="12" s="1"/>
  <c r="Q102" i="12" s="1"/>
  <c r="L114" i="12"/>
  <c r="N114" i="12" s="1"/>
  <c r="Q114" i="12" s="1"/>
  <c r="Q126" i="12"/>
  <c r="L138" i="12"/>
  <c r="N138" i="12" s="1"/>
  <c r="Q138" i="12" s="1"/>
  <c r="L150" i="12"/>
  <c r="L174" i="12"/>
  <c r="N174" i="12" s="1"/>
  <c r="Q174" i="12" s="1"/>
  <c r="L186" i="12"/>
  <c r="N186" i="12" s="1"/>
  <c r="Q186" i="12" s="1"/>
  <c r="L222" i="12"/>
  <c r="N222" i="12" s="1"/>
  <c r="Q222" i="12" s="1"/>
  <c r="B46" i="11"/>
  <c r="G46" i="11"/>
  <c r="E65" i="11"/>
  <c r="F66" i="11" s="1"/>
  <c r="F72" i="11" s="1"/>
  <c r="E91" i="11"/>
  <c r="F94" i="11" s="1"/>
  <c r="B94" i="11"/>
  <c r="F106" i="11"/>
  <c r="F112" i="11" s="1"/>
  <c r="F114" i="11" s="1"/>
  <c r="B106" i="11"/>
  <c r="F118" i="11"/>
  <c r="F124" i="11" s="1"/>
  <c r="F126" i="11" s="1"/>
  <c r="B118" i="11"/>
  <c r="E129" i="11"/>
  <c r="F130" i="11" s="1"/>
  <c r="F136" i="11" s="1"/>
  <c r="F13" i="11" s="1"/>
  <c r="B130" i="11"/>
  <c r="B95" i="11"/>
  <c r="B107" i="11"/>
  <c r="B119" i="11"/>
  <c r="B131" i="11"/>
  <c r="L24" i="11"/>
  <c r="N24" i="11" s="1"/>
  <c r="Q24" i="11" s="1"/>
  <c r="L50" i="11"/>
  <c r="N50" i="11" s="1"/>
  <c r="Q50" i="11" s="1"/>
  <c r="L69" i="11"/>
  <c r="N69" i="11" s="1"/>
  <c r="Q69" i="11" s="1"/>
  <c r="L97" i="11"/>
  <c r="N97" i="11" s="1"/>
  <c r="Q97" i="11" s="1"/>
  <c r="L109" i="11"/>
  <c r="N109" i="11" s="1"/>
  <c r="Q109" i="11" s="1"/>
  <c r="L121" i="11"/>
  <c r="N121" i="11" s="1"/>
  <c r="Q121" i="11" s="1"/>
  <c r="L133" i="11"/>
  <c r="N133" i="11" s="1"/>
  <c r="Q133" i="11" s="1"/>
  <c r="L25" i="11"/>
  <c r="N25" i="11" s="1"/>
  <c r="Q25" i="11" s="1"/>
  <c r="L51" i="11"/>
  <c r="N51" i="11" s="1"/>
  <c r="Q51" i="11" s="1"/>
  <c r="L70" i="11"/>
  <c r="N70" i="11" s="1"/>
  <c r="Q70" i="11" s="1"/>
  <c r="S69" i="11" s="1"/>
  <c r="L98" i="11"/>
  <c r="N98" i="11" s="1"/>
  <c r="Q98" i="11" s="1"/>
  <c r="L110" i="11"/>
  <c r="N110" i="11" s="1"/>
  <c r="Q110" i="11" s="1"/>
  <c r="Q122" i="11"/>
  <c r="L134" i="11"/>
  <c r="N134" i="11" s="1"/>
  <c r="Q134" i="11" s="1"/>
  <c r="L20" i="11"/>
  <c r="L44" i="11"/>
  <c r="N44" i="11" s="1"/>
  <c r="Q44" i="11" s="1"/>
  <c r="L65" i="11"/>
  <c r="N65" i="11" s="1"/>
  <c r="Q65" i="11" s="1"/>
  <c r="L91" i="11"/>
  <c r="N91" i="11" s="1"/>
  <c r="Q91" i="11" s="1"/>
  <c r="L105" i="11"/>
  <c r="N105" i="11" s="1"/>
  <c r="Q105" i="11" s="1"/>
  <c r="L117" i="11"/>
  <c r="N117" i="11" s="1"/>
  <c r="Q117" i="11" s="1"/>
  <c r="L129" i="11"/>
  <c r="N129" i="11" s="1"/>
  <c r="Q129" i="11" s="1"/>
  <c r="F28" i="10"/>
  <c r="B55" i="10"/>
  <c r="T48" i="10" s="1"/>
  <c r="G55" i="10"/>
  <c r="F75" i="10"/>
  <c r="E86" i="10"/>
  <c r="F87" i="10" s="1"/>
  <c r="B87" i="10"/>
  <c r="E100" i="10"/>
  <c r="F101" i="10" s="1"/>
  <c r="F107" i="10" s="1"/>
  <c r="F10" i="10" s="1"/>
  <c r="B101" i="10"/>
  <c r="E112" i="10"/>
  <c r="B113" i="10"/>
  <c r="F125" i="10"/>
  <c r="F131" i="10" s="1"/>
  <c r="B125" i="10"/>
  <c r="E136" i="10"/>
  <c r="F137" i="10" s="1"/>
  <c r="F143" i="10" s="1"/>
  <c r="F13" i="10" s="1"/>
  <c r="B137" i="10"/>
  <c r="E148" i="10"/>
  <c r="F149" i="10" s="1"/>
  <c r="F155" i="10" s="1"/>
  <c r="F14" i="10" s="1"/>
  <c r="B149" i="10"/>
  <c r="F161" i="10"/>
  <c r="F167" i="10" s="1"/>
  <c r="B161" i="10"/>
  <c r="E172" i="10"/>
  <c r="F173" i="10" s="1"/>
  <c r="F179" i="10" s="1"/>
  <c r="B173" i="10"/>
  <c r="B185" i="10"/>
  <c r="B197" i="10"/>
  <c r="E208" i="10"/>
  <c r="F209" i="10" s="1"/>
  <c r="B209" i="10"/>
  <c r="E220" i="10"/>
  <c r="B221" i="10"/>
  <c r="B88" i="10"/>
  <c r="B102" i="10"/>
  <c r="B114" i="10"/>
  <c r="B126" i="10"/>
  <c r="B138" i="10"/>
  <c r="B150" i="10"/>
  <c r="B162" i="10"/>
  <c r="B174" i="10"/>
  <c r="B186" i="10"/>
  <c r="B198" i="10"/>
  <c r="B210" i="10"/>
  <c r="B222" i="10"/>
  <c r="L31" i="10"/>
  <c r="N31" i="10" s="1"/>
  <c r="Q31" i="10" s="1"/>
  <c r="L59" i="10"/>
  <c r="N59" i="10" s="1"/>
  <c r="Q59" i="10" s="1"/>
  <c r="B93" i="10"/>
  <c r="B39" i="22" s="1"/>
  <c r="L104" i="10"/>
  <c r="N104" i="10" s="1"/>
  <c r="Q104" i="10" s="1"/>
  <c r="L116" i="10"/>
  <c r="N116" i="10" s="1"/>
  <c r="Q116" i="10" s="1"/>
  <c r="L128" i="10"/>
  <c r="N128" i="10" s="1"/>
  <c r="Q128" i="10" s="1"/>
  <c r="L176" i="10"/>
  <c r="N176" i="10" s="1"/>
  <c r="Q176" i="10" s="1"/>
  <c r="L188" i="10"/>
  <c r="N188" i="10" s="1"/>
  <c r="Q188" i="10" s="1"/>
  <c r="L200" i="10"/>
  <c r="N200" i="10" s="1"/>
  <c r="Q200" i="10" s="1"/>
  <c r="L212" i="10"/>
  <c r="N212" i="10" s="1"/>
  <c r="Q212" i="10" s="1"/>
  <c r="L32" i="10"/>
  <c r="N32" i="10" s="1"/>
  <c r="Q32" i="10" s="1"/>
  <c r="L60" i="10"/>
  <c r="N60" i="10" s="1"/>
  <c r="Q60" i="10" s="1"/>
  <c r="L105" i="10"/>
  <c r="N105" i="10" s="1"/>
  <c r="Q105" i="10" s="1"/>
  <c r="L117" i="10"/>
  <c r="N117" i="10" s="1"/>
  <c r="Q117" i="10" s="1"/>
  <c r="L129" i="10"/>
  <c r="N129" i="10" s="1"/>
  <c r="Q129" i="10" s="1"/>
  <c r="L141" i="10"/>
  <c r="N141" i="10" s="1"/>
  <c r="Q141" i="10" s="1"/>
  <c r="L153" i="10"/>
  <c r="N153" i="10" s="1"/>
  <c r="Q153" i="10" s="1"/>
  <c r="L165" i="10"/>
  <c r="N165" i="10" s="1"/>
  <c r="Q165" i="10" s="1"/>
  <c r="L177" i="10"/>
  <c r="N177" i="10" s="1"/>
  <c r="Q177" i="10" s="1"/>
  <c r="L189" i="10"/>
  <c r="N189" i="10" s="1"/>
  <c r="Q189" i="10" s="1"/>
  <c r="L201" i="10"/>
  <c r="N201" i="10" s="1"/>
  <c r="Q201" i="10" s="1"/>
  <c r="L213" i="10"/>
  <c r="N213" i="10" s="1"/>
  <c r="Q213" i="10" s="1"/>
  <c r="L225" i="10"/>
  <c r="N27" i="10"/>
  <c r="Q27" i="10" s="1"/>
  <c r="L40" i="10"/>
  <c r="N40" i="10" s="1"/>
  <c r="Q40" i="10" s="1"/>
  <c r="L41" i="10"/>
  <c r="N41" i="10" s="1"/>
  <c r="Q41" i="10" s="1"/>
  <c r="L42" i="10"/>
  <c r="N42" i="10" s="1"/>
  <c r="Q42" i="10" s="1"/>
  <c r="L43" i="10"/>
  <c r="L44" i="10"/>
  <c r="N44" i="10" s="1"/>
  <c r="Q44" i="10" s="1"/>
  <c r="L45" i="10"/>
  <c r="N45" i="10" s="1"/>
  <c r="Q45" i="10" s="1"/>
  <c r="L46" i="10"/>
  <c r="N46" i="10" s="1"/>
  <c r="Q46" i="10" s="1"/>
  <c r="L47" i="10"/>
  <c r="N47" i="10" s="1"/>
  <c r="Q47" i="10" s="1"/>
  <c r="L48" i="10"/>
  <c r="N48" i="10" s="1"/>
  <c r="Q48" i="10" s="1"/>
  <c r="L49" i="10"/>
  <c r="N49" i="10" s="1"/>
  <c r="Q49" i="10" s="1"/>
  <c r="L50" i="10"/>
  <c r="N50" i="10" s="1"/>
  <c r="Q50" i="10" s="1"/>
  <c r="L51" i="10"/>
  <c r="N51" i="10" s="1"/>
  <c r="Q51" i="10" s="1"/>
  <c r="L52" i="10"/>
  <c r="N52" i="10" s="1"/>
  <c r="Q52" i="10" s="1"/>
  <c r="L53" i="10"/>
  <c r="N53" i="10" s="1"/>
  <c r="Q53" i="10" s="1"/>
  <c r="L74" i="10"/>
  <c r="N74" i="10" s="1"/>
  <c r="Q74" i="10" s="1"/>
  <c r="N86" i="10"/>
  <c r="Q86" i="10" s="1"/>
  <c r="L100" i="10"/>
  <c r="N100" i="10" s="1"/>
  <c r="Q100" i="10" s="1"/>
  <c r="L112" i="10"/>
  <c r="N112" i="10" s="1"/>
  <c r="Q112" i="10" s="1"/>
  <c r="N124" i="10"/>
  <c r="Q124" i="10" s="1"/>
  <c r="L136" i="10"/>
  <c r="N136" i="10" s="1"/>
  <c r="Q136" i="10" s="1"/>
  <c r="L148" i="10"/>
  <c r="N148" i="10" s="1"/>
  <c r="Q148" i="10" s="1"/>
  <c r="L172" i="10"/>
  <c r="N172" i="10" s="1"/>
  <c r="Q172" i="10" s="1"/>
  <c r="L184" i="10"/>
  <c r="N184" i="10" s="1"/>
  <c r="Q184" i="10" s="1"/>
  <c r="L196" i="10"/>
  <c r="N196" i="10" s="1"/>
  <c r="Q196" i="10" s="1"/>
  <c r="L208" i="10"/>
  <c r="N208" i="10" s="1"/>
  <c r="Q208" i="10" s="1"/>
  <c r="L220" i="10"/>
  <c r="N220" i="10" s="1"/>
  <c r="Q220" i="10" s="1"/>
  <c r="F22" i="9"/>
  <c r="I23" i="9"/>
  <c r="L25" i="9"/>
  <c r="N25" i="9" s="1"/>
  <c r="Q25" i="9" s="1"/>
  <c r="L26" i="9"/>
  <c r="N26" i="9" s="1"/>
  <c r="Q26" i="9" s="1"/>
  <c r="N35" i="9"/>
  <c r="Q35" i="9" s="1"/>
  <c r="N36" i="9"/>
  <c r="Q36" i="9" s="1"/>
  <c r="N37" i="9"/>
  <c r="Q37" i="9" s="1"/>
  <c r="N41" i="9"/>
  <c r="Q41" i="9" s="1"/>
  <c r="N42" i="9"/>
  <c r="Q42" i="9" s="1"/>
  <c r="N43" i="9"/>
  <c r="Q43" i="9" s="1"/>
  <c r="N44" i="9"/>
  <c r="Q44" i="9" s="1"/>
  <c r="N45" i="9"/>
  <c r="Q45" i="9" s="1"/>
  <c r="N46" i="9"/>
  <c r="Q46" i="9" s="1"/>
  <c r="L121" i="9"/>
  <c r="N121" i="9" s="1"/>
  <c r="Q121" i="9" s="1"/>
  <c r="L122" i="9"/>
  <c r="N122" i="9" s="1"/>
  <c r="Q122" i="9" s="1"/>
  <c r="L132" i="9"/>
  <c r="N132" i="9" s="1"/>
  <c r="Q132" i="9" s="1"/>
  <c r="L133" i="9"/>
  <c r="N133" i="9" s="1"/>
  <c r="Q133" i="9" s="1"/>
  <c r="L68" i="9"/>
  <c r="N68" i="9" s="1"/>
  <c r="Q68" i="9" s="1"/>
  <c r="F69" i="9"/>
  <c r="F75" i="9" s="1"/>
  <c r="E12" i="22" s="1"/>
  <c r="E65" i="22" s="1"/>
  <c r="L72" i="9"/>
  <c r="N72" i="9" s="1"/>
  <c r="Q72" i="9" s="1"/>
  <c r="L73" i="9"/>
  <c r="N73" i="9" s="1"/>
  <c r="Q73" i="9" s="1"/>
  <c r="S72" i="9" s="1"/>
  <c r="B94" i="9"/>
  <c r="B95" i="9"/>
  <c r="L93" i="9"/>
  <c r="N93" i="9" s="1"/>
  <c r="Q93" i="9" s="1"/>
  <c r="L97" i="9"/>
  <c r="N97" i="9" s="1"/>
  <c r="Q97" i="9" s="1"/>
  <c r="L98" i="9"/>
  <c r="N98" i="9" s="1"/>
  <c r="Q98" i="9" s="1"/>
  <c r="E105" i="9"/>
  <c r="F106" i="9" s="1"/>
  <c r="F112" i="9" s="1"/>
  <c r="F114" i="9" s="1"/>
  <c r="B106" i="9"/>
  <c r="L105" i="9"/>
  <c r="N105" i="9" s="1"/>
  <c r="Q105" i="9" s="1"/>
  <c r="F140" i="9"/>
  <c r="F146" i="9" s="1"/>
  <c r="F148" i="9" s="1"/>
  <c r="B140" i="9"/>
  <c r="L139" i="9"/>
  <c r="N139" i="9" s="1"/>
  <c r="Q139" i="9" s="1"/>
  <c r="B107" i="9"/>
  <c r="B141" i="9"/>
  <c r="X10" i="9"/>
  <c r="N53" i="9"/>
  <c r="Q53" i="9" s="1"/>
  <c r="L109" i="9"/>
  <c r="N109" i="9" s="1"/>
  <c r="N143" i="9"/>
  <c r="Q143" i="9" s="1"/>
  <c r="L54" i="9"/>
  <c r="N54" i="9" s="1"/>
  <c r="Q54" i="9" s="1"/>
  <c r="L110" i="9"/>
  <c r="N110" i="9" s="1"/>
  <c r="Q110" i="9" s="1"/>
  <c r="L144" i="9"/>
  <c r="N144" i="9" s="1"/>
  <c r="Q144" i="9" s="1"/>
  <c r="F17" i="8"/>
  <c r="I17" i="8" s="1"/>
  <c r="T36" i="8"/>
  <c r="F57" i="8"/>
  <c r="F63" i="8" s="1"/>
  <c r="E11" i="22" s="1"/>
  <c r="E64" i="22" s="1"/>
  <c r="I18" i="8"/>
  <c r="L20" i="8"/>
  <c r="N20" i="8" s="1"/>
  <c r="Q20" i="8" s="1"/>
  <c r="L60" i="8"/>
  <c r="N60" i="8" s="1"/>
  <c r="Q60" i="8" s="1"/>
  <c r="L42" i="8"/>
  <c r="N42" i="8" s="1"/>
  <c r="Q42" i="8" s="1"/>
  <c r="L61" i="8"/>
  <c r="N61" i="8" s="1"/>
  <c r="Q61" i="8" s="1"/>
  <c r="S60" i="8" s="1"/>
  <c r="L16" i="8"/>
  <c r="N16" i="8" s="1"/>
  <c r="Q16" i="8" s="1"/>
  <c r="L29" i="8"/>
  <c r="N56" i="8"/>
  <c r="Q56" i="8" s="1"/>
  <c r="E25" i="7"/>
  <c r="F26" i="7" s="1"/>
  <c r="F32" i="7" s="1"/>
  <c r="F7" i="7" s="1"/>
  <c r="F20" i="7" s="1"/>
  <c r="E8" i="20" s="1"/>
  <c r="E75" i="7"/>
  <c r="F76" i="7" s="1"/>
  <c r="F82" i="7" s="1"/>
  <c r="F88" i="7"/>
  <c r="F94" i="7" s="1"/>
  <c r="E101" i="7"/>
  <c r="F102" i="7" s="1"/>
  <c r="B102" i="7"/>
  <c r="E113" i="7"/>
  <c r="F114" i="7" s="1"/>
  <c r="F120" i="7" s="1"/>
  <c r="B114" i="7"/>
  <c r="E125" i="7"/>
  <c r="F126" i="7" s="1"/>
  <c r="F132" i="7" s="1"/>
  <c r="F134" i="7" s="1"/>
  <c r="B126" i="7"/>
  <c r="E137" i="7"/>
  <c r="F138" i="7" s="1"/>
  <c r="F144" i="7" s="1"/>
  <c r="B138" i="7"/>
  <c r="E149" i="7"/>
  <c r="F150" i="7" s="1"/>
  <c r="F156" i="7" s="1"/>
  <c r="F158" i="7" s="1"/>
  <c r="B150" i="7"/>
  <c r="E161" i="7"/>
  <c r="F162" i="7" s="1"/>
  <c r="B162" i="7"/>
  <c r="E173" i="7"/>
  <c r="F174" i="7" s="1"/>
  <c r="B174" i="7"/>
  <c r="E185" i="7"/>
  <c r="F186" i="7" s="1"/>
  <c r="F192" i="7" s="1"/>
  <c r="F194" i="7" s="1"/>
  <c r="B186" i="7"/>
  <c r="E197" i="7"/>
  <c r="F198" i="7" s="1"/>
  <c r="F204" i="7" s="1"/>
  <c r="F18" i="7" s="1"/>
  <c r="B198" i="7"/>
  <c r="H27" i="7"/>
  <c r="H32" i="7" s="1"/>
  <c r="G23" i="21" s="1"/>
  <c r="I27" i="7"/>
  <c r="B103" i="7"/>
  <c r="B115" i="7"/>
  <c r="B127" i="7"/>
  <c r="B139" i="7"/>
  <c r="B151" i="7"/>
  <c r="B163" i="7"/>
  <c r="B175" i="7"/>
  <c r="B187" i="7"/>
  <c r="B199" i="7"/>
  <c r="L29" i="7"/>
  <c r="N29" i="7" s="1"/>
  <c r="Q29" i="7" s="1"/>
  <c r="L105" i="7"/>
  <c r="L117" i="7"/>
  <c r="N117" i="7" s="1"/>
  <c r="Q117" i="7" s="1"/>
  <c r="L141" i="7"/>
  <c r="N141" i="7" s="1"/>
  <c r="Q141" i="7" s="1"/>
  <c r="L153" i="7"/>
  <c r="L165" i="7"/>
  <c r="N165" i="7" s="1"/>
  <c r="Q165" i="7" s="1"/>
  <c r="L189" i="7"/>
  <c r="N189" i="7" s="1"/>
  <c r="Q189" i="7" s="1"/>
  <c r="L201" i="7"/>
  <c r="L30" i="7"/>
  <c r="N30" i="7" s="1"/>
  <c r="Q30" i="7" s="1"/>
  <c r="L61" i="7"/>
  <c r="N61" i="7" s="1"/>
  <c r="Q61" i="7" s="1"/>
  <c r="L106" i="7"/>
  <c r="N106" i="7" s="1"/>
  <c r="Q106" i="7" s="1"/>
  <c r="N118" i="7"/>
  <c r="Q118" i="7" s="1"/>
  <c r="L130" i="7"/>
  <c r="N130" i="7" s="1"/>
  <c r="Q130" i="7" s="1"/>
  <c r="L142" i="7"/>
  <c r="N142" i="7" s="1"/>
  <c r="Q142" i="7" s="1"/>
  <c r="Q166" i="7"/>
  <c r="L178" i="7"/>
  <c r="N178" i="7" s="1"/>
  <c r="Q178" i="7" s="1"/>
  <c r="L202" i="7"/>
  <c r="N202" i="7" s="1"/>
  <c r="Q202" i="7" s="1"/>
  <c r="L25" i="7"/>
  <c r="L38" i="7"/>
  <c r="L39" i="7"/>
  <c r="N39" i="7" s="1"/>
  <c r="L40" i="7"/>
  <c r="N40" i="7" s="1"/>
  <c r="L41" i="7"/>
  <c r="N41" i="7" s="1"/>
  <c r="L42" i="7"/>
  <c r="N42" i="7" s="1"/>
  <c r="L43" i="7"/>
  <c r="N43" i="7" s="1"/>
  <c r="L75" i="7"/>
  <c r="L101" i="7"/>
  <c r="L113" i="7"/>
  <c r="L125" i="7"/>
  <c r="N125" i="7" s="1"/>
  <c r="Q125" i="7" s="1"/>
  <c r="L137" i="7"/>
  <c r="L149" i="7"/>
  <c r="L161" i="7"/>
  <c r="L173" i="7"/>
  <c r="L185" i="7"/>
  <c r="L197" i="7"/>
  <c r="T58" i="6"/>
  <c r="B114" i="6"/>
  <c r="B126" i="6"/>
  <c r="B174" i="6"/>
  <c r="B198" i="6"/>
  <c r="B210" i="6"/>
  <c r="B222" i="6"/>
  <c r="B234" i="6"/>
  <c r="B246" i="6"/>
  <c r="B258" i="6"/>
  <c r="B270" i="6"/>
  <c r="B282" i="6"/>
  <c r="B294" i="6"/>
  <c r="B306" i="6"/>
  <c r="B318" i="6"/>
  <c r="B342" i="6"/>
  <c r="B366" i="6"/>
  <c r="B378" i="6"/>
  <c r="B390" i="6"/>
  <c r="B402" i="6"/>
  <c r="B414" i="6"/>
  <c r="L46" i="6"/>
  <c r="L71" i="6"/>
  <c r="N71" i="6" s="1"/>
  <c r="Q71" i="6" s="1"/>
  <c r="L116" i="6"/>
  <c r="L128" i="6"/>
  <c r="N128" i="6" s="1"/>
  <c r="Q128" i="6" s="1"/>
  <c r="L140" i="6"/>
  <c r="N140" i="6" s="1"/>
  <c r="Q140" i="6" s="1"/>
  <c r="L152" i="6"/>
  <c r="N152" i="6" s="1"/>
  <c r="Q152" i="6" s="1"/>
  <c r="L164" i="6"/>
  <c r="N164" i="6" s="1"/>
  <c r="Q164" i="6" s="1"/>
  <c r="N176" i="6"/>
  <c r="L200" i="6"/>
  <c r="N200" i="6" s="1"/>
  <c r="Q200" i="6" s="1"/>
  <c r="L212" i="6"/>
  <c r="N212" i="6" s="1"/>
  <c r="Q212" i="6" s="1"/>
  <c r="L224" i="6"/>
  <c r="N224" i="6" s="1"/>
  <c r="Q224" i="6" s="1"/>
  <c r="L248" i="6"/>
  <c r="N248" i="6" s="1"/>
  <c r="Q248" i="6" s="1"/>
  <c r="L260" i="6"/>
  <c r="N260" i="6" s="1"/>
  <c r="Q260" i="6" s="1"/>
  <c r="L272" i="6"/>
  <c r="N272" i="6" s="1"/>
  <c r="Q272" i="6" s="1"/>
  <c r="L284" i="6"/>
  <c r="N284" i="6" s="1"/>
  <c r="Q284" i="6" s="1"/>
  <c r="L296" i="6"/>
  <c r="L308" i="6"/>
  <c r="N308" i="6" s="1"/>
  <c r="Q308" i="6" s="1"/>
  <c r="L368" i="6"/>
  <c r="N368" i="6" s="1"/>
  <c r="Q368" i="6" s="1"/>
  <c r="L380" i="6"/>
  <c r="N380" i="6" s="1"/>
  <c r="Q380" i="6" s="1"/>
  <c r="L392" i="6"/>
  <c r="N392" i="6" s="1"/>
  <c r="Q392" i="6" s="1"/>
  <c r="L404" i="6"/>
  <c r="N404" i="6" s="1"/>
  <c r="Q404" i="6" s="1"/>
  <c r="L47" i="6"/>
  <c r="N47" i="6" s="1"/>
  <c r="Q47" i="6" s="1"/>
  <c r="L72" i="6"/>
  <c r="N72" i="6" s="1"/>
  <c r="Q72" i="6" s="1"/>
  <c r="L117" i="6"/>
  <c r="L129" i="6"/>
  <c r="N129" i="6" s="1"/>
  <c r="Q129" i="6" s="1"/>
  <c r="L141" i="6"/>
  <c r="N141" i="6" s="1"/>
  <c r="Q141" i="6" s="1"/>
  <c r="N153" i="6"/>
  <c r="Q153" i="6" s="1"/>
  <c r="N165" i="6"/>
  <c r="Q165" i="6" s="1"/>
  <c r="L201" i="6"/>
  <c r="N201" i="6" s="1"/>
  <c r="Q201" i="6" s="1"/>
  <c r="L213" i="6"/>
  <c r="N213" i="6" s="1"/>
  <c r="Q213" i="6" s="1"/>
  <c r="L225" i="6"/>
  <c r="N225" i="6" s="1"/>
  <c r="Q225" i="6" s="1"/>
  <c r="L249" i="6"/>
  <c r="N249" i="6" s="1"/>
  <c r="Q249" i="6" s="1"/>
  <c r="L261" i="6"/>
  <c r="N261" i="6" s="1"/>
  <c r="Q261" i="6" s="1"/>
  <c r="L273" i="6"/>
  <c r="N273" i="6" s="1"/>
  <c r="Q273" i="6" s="1"/>
  <c r="N285" i="6"/>
  <c r="Q285" i="6" s="1"/>
  <c r="L297" i="6"/>
  <c r="N297" i="6" s="1"/>
  <c r="Q297" i="6" s="1"/>
  <c r="L309" i="6"/>
  <c r="N309" i="6" s="1"/>
  <c r="Q309" i="6" s="1"/>
  <c r="L321" i="6"/>
  <c r="N321" i="6" s="1"/>
  <c r="Q321" i="6" s="1"/>
  <c r="L369" i="6"/>
  <c r="N369" i="6" s="1"/>
  <c r="Q369" i="6" s="1"/>
  <c r="L381" i="6"/>
  <c r="N381" i="6" s="1"/>
  <c r="Q381" i="6" s="1"/>
  <c r="L393" i="6"/>
  <c r="N393" i="6" s="1"/>
  <c r="Q393" i="6" s="1"/>
  <c r="L405" i="6"/>
  <c r="N405" i="6" s="1"/>
  <c r="Q405" i="6" s="1"/>
  <c r="L417" i="6"/>
  <c r="N417" i="6" s="1"/>
  <c r="Q417" i="6" s="1"/>
  <c r="N42" i="6"/>
  <c r="Q42" i="6" s="1"/>
  <c r="G67" i="6"/>
  <c r="L55" i="6"/>
  <c r="N55" i="6" s="1"/>
  <c r="L56" i="6"/>
  <c r="N56" i="6" s="1"/>
  <c r="Q56" i="6" s="1"/>
  <c r="L57" i="6"/>
  <c r="N57" i="6" s="1"/>
  <c r="Q57" i="6" s="1"/>
  <c r="L59" i="6"/>
  <c r="N59" i="6" s="1"/>
  <c r="Q59" i="6" s="1"/>
  <c r="L60" i="6"/>
  <c r="N60" i="6" s="1"/>
  <c r="Q60" i="6" s="1"/>
  <c r="L61" i="6"/>
  <c r="N61" i="6" s="1"/>
  <c r="Q61" i="6" s="1"/>
  <c r="L62" i="6"/>
  <c r="N62" i="6" s="1"/>
  <c r="Q62" i="6" s="1"/>
  <c r="L63" i="6"/>
  <c r="N63" i="6" s="1"/>
  <c r="Q63" i="6" s="1"/>
  <c r="L64" i="6"/>
  <c r="N64" i="6" s="1"/>
  <c r="Q64" i="6" s="1"/>
  <c r="L65" i="6"/>
  <c r="N65" i="6" s="1"/>
  <c r="Q65" i="6" s="1"/>
  <c r="L86" i="6"/>
  <c r="N86" i="6" s="1"/>
  <c r="Q86" i="6" s="1"/>
  <c r="E86" i="6"/>
  <c r="F87" i="6" s="1"/>
  <c r="L98" i="6"/>
  <c r="N98" i="6" s="1"/>
  <c r="Q98" i="6" s="1"/>
  <c r="B113" i="6"/>
  <c r="L112" i="6"/>
  <c r="B125" i="6"/>
  <c r="L124" i="6"/>
  <c r="N124" i="6" s="1"/>
  <c r="Q124" i="6" s="1"/>
  <c r="L136" i="6"/>
  <c r="L148" i="6"/>
  <c r="N148" i="6" s="1"/>
  <c r="Q148" i="6" s="1"/>
  <c r="L160" i="6"/>
  <c r="N160" i="6" s="1"/>
  <c r="Q160" i="6" s="1"/>
  <c r="B173" i="6"/>
  <c r="L172" i="6"/>
  <c r="N172" i="6" s="1"/>
  <c r="Q172" i="6" s="1"/>
  <c r="B197" i="6"/>
  <c r="L196" i="6"/>
  <c r="N196" i="6" s="1"/>
  <c r="B209" i="6"/>
  <c r="L208" i="6"/>
  <c r="N208" i="6" s="1"/>
  <c r="Q208" i="6" s="1"/>
  <c r="B221" i="6"/>
  <c r="L220" i="6"/>
  <c r="N220" i="6" s="1"/>
  <c r="Q220" i="6" s="1"/>
  <c r="F233" i="6"/>
  <c r="F239" i="6" s="1"/>
  <c r="F20" i="6" s="1"/>
  <c r="B233" i="6"/>
  <c r="B245" i="6"/>
  <c r="L244" i="6"/>
  <c r="N244" i="6" s="1"/>
  <c r="Q244" i="6" s="1"/>
  <c r="B257" i="6"/>
  <c r="L256" i="6"/>
  <c r="N256" i="6" s="1"/>
  <c r="Q256" i="6" s="1"/>
  <c r="B269" i="6"/>
  <c r="L268" i="6"/>
  <c r="N268" i="6" s="1"/>
  <c r="Q268" i="6" s="1"/>
  <c r="B281" i="6"/>
  <c r="L280" i="6"/>
  <c r="N280" i="6" s="1"/>
  <c r="B293" i="6"/>
  <c r="L292" i="6"/>
  <c r="N292" i="6" s="1"/>
  <c r="Q292" i="6" s="1"/>
  <c r="B305" i="6"/>
  <c r="L304" i="6"/>
  <c r="N304" i="6" s="1"/>
  <c r="Q304" i="6" s="1"/>
  <c r="B317" i="6"/>
  <c r="L316" i="6"/>
  <c r="N316" i="6" s="1"/>
  <c r="Q316" i="6" s="1"/>
  <c r="B365" i="6"/>
  <c r="E376" i="6"/>
  <c r="F377" i="6" s="1"/>
  <c r="F383" i="6" s="1"/>
  <c r="F385" i="6" s="1"/>
  <c r="B377" i="6"/>
  <c r="L376" i="6"/>
  <c r="N376" i="6" s="1"/>
  <c r="Q376" i="6" s="1"/>
  <c r="F389" i="6"/>
  <c r="F395" i="6" s="1"/>
  <c r="F33" i="6" s="1"/>
  <c r="B389" i="6"/>
  <c r="L388" i="6"/>
  <c r="N388" i="6" s="1"/>
  <c r="Q388" i="6" s="1"/>
  <c r="F413" i="6"/>
  <c r="F419" i="6" s="1"/>
  <c r="F35" i="6" s="1"/>
  <c r="B413" i="6"/>
  <c r="L412" i="6"/>
  <c r="N412" i="6" s="1"/>
  <c r="Q412" i="6" s="1"/>
  <c r="L509" i="5"/>
  <c r="N509" i="5" s="1"/>
  <c r="Q509" i="5" s="1"/>
  <c r="L521" i="5"/>
  <c r="N521" i="5" s="1"/>
  <c r="Q521" i="5" s="1"/>
  <c r="L508" i="5"/>
  <c r="N508" i="5" s="1"/>
  <c r="Q508" i="5" s="1"/>
  <c r="N520" i="5"/>
  <c r="Q520" i="5" s="1"/>
  <c r="B475" i="5"/>
  <c r="B38" i="5" s="1"/>
  <c r="B487" i="5"/>
  <c r="B39" i="5" s="1"/>
  <c r="L468" i="5"/>
  <c r="N468" i="5" s="1"/>
  <c r="Q468" i="5" s="1"/>
  <c r="L480" i="5"/>
  <c r="N480" i="5" s="1"/>
  <c r="Q480" i="5" s="1"/>
  <c r="F84" i="6"/>
  <c r="H84" i="6"/>
  <c r="B130" i="5"/>
  <c r="B142" i="5"/>
  <c r="B155" i="5"/>
  <c r="B167" i="5"/>
  <c r="B181" i="5"/>
  <c r="B193" i="5"/>
  <c r="B205" i="5"/>
  <c r="B217" i="5"/>
  <c r="B229" i="5"/>
  <c r="B241" i="5"/>
  <c r="B253" i="5"/>
  <c r="B265" i="5"/>
  <c r="B277" i="5"/>
  <c r="B289" i="5"/>
  <c r="B301" i="5"/>
  <c r="B313" i="5"/>
  <c r="B325" i="5"/>
  <c r="B337" i="5"/>
  <c r="B350" i="5"/>
  <c r="B362" i="5"/>
  <c r="B386" i="5"/>
  <c r="B410" i="5"/>
  <c r="B422" i="5"/>
  <c r="B446" i="5"/>
  <c r="B458" i="5"/>
  <c r="B470" i="5"/>
  <c r="B482" i="5"/>
  <c r="B494" i="5"/>
  <c r="B506" i="5"/>
  <c r="B518" i="5"/>
  <c r="B530" i="5"/>
  <c r="B566" i="5"/>
  <c r="H566" i="5" s="1"/>
  <c r="B590" i="5"/>
  <c r="H590" i="5" s="1"/>
  <c r="B602" i="5"/>
  <c r="H602" i="5" s="1"/>
  <c r="L63" i="5"/>
  <c r="N63" i="5" s="1"/>
  <c r="Q63" i="5" s="1"/>
  <c r="L87" i="5"/>
  <c r="N87" i="5" s="1"/>
  <c r="Q87" i="5" s="1"/>
  <c r="L132" i="5"/>
  <c r="N132" i="5" s="1"/>
  <c r="Q132" i="5" s="1"/>
  <c r="L144" i="5"/>
  <c r="N144" i="5" s="1"/>
  <c r="Q144" i="5" s="1"/>
  <c r="L169" i="5"/>
  <c r="N169" i="5" s="1"/>
  <c r="Q169" i="5" s="1"/>
  <c r="N183" i="5"/>
  <c r="Q183" i="5" s="1"/>
  <c r="L195" i="5"/>
  <c r="N195" i="5" s="1"/>
  <c r="Q195" i="5" s="1"/>
  <c r="L219" i="5"/>
  <c r="N219" i="5" s="1"/>
  <c r="Q219" i="5" s="1"/>
  <c r="L231" i="5"/>
  <c r="N231" i="5" s="1"/>
  <c r="Q231" i="5" s="1"/>
  <c r="L267" i="5"/>
  <c r="N267" i="5" s="1"/>
  <c r="Q267" i="5" s="1"/>
  <c r="L279" i="5"/>
  <c r="N279" i="5" s="1"/>
  <c r="Q279" i="5" s="1"/>
  <c r="L291" i="5"/>
  <c r="N291" i="5" s="1"/>
  <c r="Q291" i="5" s="1"/>
  <c r="L303" i="5"/>
  <c r="N303" i="5" s="1"/>
  <c r="Q303" i="5" s="1"/>
  <c r="L315" i="5"/>
  <c r="N315" i="5" s="1"/>
  <c r="Q315" i="5" s="1"/>
  <c r="L339" i="5"/>
  <c r="N339" i="5" s="1"/>
  <c r="Q339" i="5" s="1"/>
  <c r="L388" i="5"/>
  <c r="N388" i="5" s="1"/>
  <c r="Q388" i="5" s="1"/>
  <c r="L412" i="5"/>
  <c r="N412" i="5" s="1"/>
  <c r="Q412" i="5" s="1"/>
  <c r="L424" i="5"/>
  <c r="N424" i="5" s="1"/>
  <c r="Q424" i="5" s="1"/>
  <c r="L448" i="5"/>
  <c r="N448" i="5" s="1"/>
  <c r="Q448" i="5" s="1"/>
  <c r="L460" i="5"/>
  <c r="N460" i="5" s="1"/>
  <c r="Q460" i="5" s="1"/>
  <c r="L484" i="5"/>
  <c r="N484" i="5" s="1"/>
  <c r="Q484" i="5" s="1"/>
  <c r="S472" i="5" s="1"/>
  <c r="L496" i="5"/>
  <c r="N496" i="5" s="1"/>
  <c r="Q496" i="5" s="1"/>
  <c r="L532" i="5"/>
  <c r="N532" i="5" s="1"/>
  <c r="Q532" i="5" s="1"/>
  <c r="N592" i="5"/>
  <c r="Q592" i="5" s="1"/>
  <c r="L604" i="5"/>
  <c r="N604" i="5" s="1"/>
  <c r="Q604" i="5" s="1"/>
  <c r="L64" i="5"/>
  <c r="N64" i="5" s="1"/>
  <c r="Q64" i="5" s="1"/>
  <c r="L88" i="5"/>
  <c r="N88" i="5" s="1"/>
  <c r="Q88" i="5" s="1"/>
  <c r="N133" i="5"/>
  <c r="Q133" i="5" s="1"/>
  <c r="L145" i="5"/>
  <c r="N145" i="5" s="1"/>
  <c r="Q145" i="5" s="1"/>
  <c r="L158" i="5"/>
  <c r="N158" i="5" s="1"/>
  <c r="Q158" i="5" s="1"/>
  <c r="L170" i="5"/>
  <c r="N170" i="5" s="1"/>
  <c r="Q170" i="5" s="1"/>
  <c r="L184" i="5"/>
  <c r="N184" i="5" s="1"/>
  <c r="Q184" i="5" s="1"/>
  <c r="L196" i="5"/>
  <c r="N196" i="5" s="1"/>
  <c r="Q196" i="5" s="1"/>
  <c r="L208" i="5"/>
  <c r="N208" i="5" s="1"/>
  <c r="Q208" i="5" s="1"/>
  <c r="L220" i="5"/>
  <c r="N220" i="5" s="1"/>
  <c r="Q220" i="5" s="1"/>
  <c r="L232" i="5"/>
  <c r="N232" i="5" s="1"/>
  <c r="Q232" i="5" s="1"/>
  <c r="L244" i="5"/>
  <c r="N244" i="5" s="1"/>
  <c r="Q244" i="5" s="1"/>
  <c r="L256" i="5"/>
  <c r="N256" i="5" s="1"/>
  <c r="Q256" i="5" s="1"/>
  <c r="L280" i="5"/>
  <c r="N280" i="5" s="1"/>
  <c r="Q280" i="5" s="1"/>
  <c r="L292" i="5"/>
  <c r="N292" i="5" s="1"/>
  <c r="Q292" i="5" s="1"/>
  <c r="L304" i="5"/>
  <c r="N304" i="5" s="1"/>
  <c r="Q304" i="5" s="1"/>
  <c r="L316" i="5"/>
  <c r="N316" i="5" s="1"/>
  <c r="Q316" i="5" s="1"/>
  <c r="L328" i="5"/>
  <c r="N328" i="5" s="1"/>
  <c r="Q328" i="5" s="1"/>
  <c r="L340" i="5"/>
  <c r="N340" i="5" s="1"/>
  <c r="Q340" i="5" s="1"/>
  <c r="L353" i="5"/>
  <c r="N353" i="5" s="1"/>
  <c r="Q353" i="5" s="1"/>
  <c r="L389" i="5"/>
  <c r="N389" i="5" s="1"/>
  <c r="Q389" i="5" s="1"/>
  <c r="L413" i="5"/>
  <c r="N413" i="5" s="1"/>
  <c r="Q413" i="5" s="1"/>
  <c r="L425" i="5"/>
  <c r="N425" i="5" s="1"/>
  <c r="Q425" i="5" s="1"/>
  <c r="L449" i="5"/>
  <c r="N449" i="5" s="1"/>
  <c r="Q449" i="5" s="1"/>
  <c r="L461" i="5"/>
  <c r="N461" i="5" s="1"/>
  <c r="Q461" i="5" s="1"/>
  <c r="L473" i="5"/>
  <c r="N473" i="5" s="1"/>
  <c r="Q473" i="5" s="1"/>
  <c r="L485" i="5"/>
  <c r="N485" i="5" s="1"/>
  <c r="Q485" i="5" s="1"/>
  <c r="L497" i="5"/>
  <c r="N497" i="5" s="1"/>
  <c r="Q497" i="5" s="1"/>
  <c r="L533" i="5"/>
  <c r="N533" i="5" s="1"/>
  <c r="Q533" i="5" s="1"/>
  <c r="L569" i="5"/>
  <c r="N569" i="5" s="1"/>
  <c r="Q569" i="5" s="1"/>
  <c r="L593" i="5"/>
  <c r="N593" i="5" s="1"/>
  <c r="Q593" i="5" s="1"/>
  <c r="L605" i="5"/>
  <c r="N605" i="5" s="1"/>
  <c r="Q605" i="5" s="1"/>
  <c r="B129" i="5"/>
  <c r="N128" i="5"/>
  <c r="Q128" i="5" s="1"/>
  <c r="B324" i="5"/>
  <c r="L323" i="5"/>
  <c r="N323" i="5" s="1"/>
  <c r="Q323" i="5" s="1"/>
  <c r="B361" i="5"/>
  <c r="Q360" i="5"/>
  <c r="B409" i="5"/>
  <c r="L408" i="5"/>
  <c r="N408" i="5" s="1"/>
  <c r="Q408" i="5" s="1"/>
  <c r="F115" i="5"/>
  <c r="B141" i="5"/>
  <c r="B154" i="5"/>
  <c r="B166" i="5"/>
  <c r="B180" i="5"/>
  <c r="B192" i="5"/>
  <c r="B204" i="5"/>
  <c r="B216" i="5"/>
  <c r="B228" i="5"/>
  <c r="B240" i="5"/>
  <c r="B252" i="5"/>
  <c r="B264" i="5"/>
  <c r="B276" i="5"/>
  <c r="B288" i="5"/>
  <c r="B300" i="5"/>
  <c r="B312" i="5"/>
  <c r="B336" i="5"/>
  <c r="B349" i="5"/>
  <c r="B385" i="5"/>
  <c r="B421" i="5"/>
  <c r="B445" i="5"/>
  <c r="B457" i="5"/>
  <c r="B469" i="5"/>
  <c r="B481" i="5"/>
  <c r="B493" i="5"/>
  <c r="B505" i="5"/>
  <c r="B517" i="5"/>
  <c r="B529" i="5"/>
  <c r="B565" i="5"/>
  <c r="B589" i="5"/>
  <c r="B601" i="5"/>
  <c r="B44" i="4"/>
  <c r="G44" i="4"/>
  <c r="C44" i="4"/>
  <c r="L32" i="4"/>
  <c r="Q33" i="4"/>
  <c r="Q35" i="4"/>
  <c r="Q37" i="4"/>
  <c r="Q38" i="4"/>
  <c r="Q39" i="4"/>
  <c r="Q40" i="4"/>
  <c r="Q41" i="4"/>
  <c r="L42" i="4"/>
  <c r="B82" i="4"/>
  <c r="N63" i="4"/>
  <c r="Q63" i="4" s="1"/>
  <c r="B76" i="4"/>
  <c r="L75" i="4"/>
  <c r="N75" i="4" s="1"/>
  <c r="Q75" i="4" s="1"/>
  <c r="B77" i="4"/>
  <c r="B90" i="4"/>
  <c r="L89" i="4"/>
  <c r="N89" i="4" s="1"/>
  <c r="Q89" i="4" s="1"/>
  <c r="F108" i="4"/>
  <c r="L101" i="4"/>
  <c r="N101" i="4" s="1"/>
  <c r="Q101" i="4" s="1"/>
  <c r="N19" i="4"/>
  <c r="Q19" i="4" s="1"/>
  <c r="L23" i="4"/>
  <c r="N23" i="4" s="1"/>
  <c r="Q23" i="4" s="1"/>
  <c r="L24" i="4"/>
  <c r="N24" i="4" s="1"/>
  <c r="L113" i="4"/>
  <c r="N113" i="4" s="1"/>
  <c r="Q113" i="4" s="1"/>
  <c r="F120" i="4"/>
  <c r="F12" i="4" s="1"/>
  <c r="L117" i="4"/>
  <c r="N117" i="4" s="1"/>
  <c r="Q117" i="4" s="1"/>
  <c r="L118" i="4"/>
  <c r="N118" i="4" s="1"/>
  <c r="Q118" i="4" s="1"/>
  <c r="B91" i="4"/>
  <c r="B103" i="4"/>
  <c r="H103" i="4" s="1"/>
  <c r="L48" i="4"/>
  <c r="L93" i="4"/>
  <c r="N93" i="4" s="1"/>
  <c r="Q93" i="4" s="1"/>
  <c r="L105" i="4"/>
  <c r="N105" i="4" s="1"/>
  <c r="Q105" i="4" s="1"/>
  <c r="N49" i="4"/>
  <c r="Q49" i="4" s="1"/>
  <c r="L94" i="4"/>
  <c r="N94" i="4" s="1"/>
  <c r="Q94" i="4" s="1"/>
  <c r="Q106" i="4"/>
  <c r="G40" i="3"/>
  <c r="B86" i="3"/>
  <c r="E109" i="3"/>
  <c r="B110" i="3"/>
  <c r="B122" i="3"/>
  <c r="B87" i="3"/>
  <c r="B111" i="3"/>
  <c r="B123" i="3"/>
  <c r="N24" i="3"/>
  <c r="Q24" i="3" s="1"/>
  <c r="Q44" i="3"/>
  <c r="B78" i="3"/>
  <c r="B32" i="22" s="1"/>
  <c r="L89" i="3"/>
  <c r="N89" i="3" s="1"/>
  <c r="Q89" i="3" s="1"/>
  <c r="L113" i="3"/>
  <c r="N113" i="3" s="1"/>
  <c r="Q113" i="3" s="1"/>
  <c r="L125" i="3"/>
  <c r="N125" i="3" s="1"/>
  <c r="Q125" i="3" s="1"/>
  <c r="L45" i="3"/>
  <c r="N45" i="3" s="1"/>
  <c r="Q45" i="3" s="1"/>
  <c r="L90" i="3"/>
  <c r="N90" i="3" s="1"/>
  <c r="Q90" i="3" s="1"/>
  <c r="L102" i="3"/>
  <c r="N102" i="3" s="1"/>
  <c r="Q102" i="3" s="1"/>
  <c r="L114" i="3"/>
  <c r="N114" i="3" s="1"/>
  <c r="Q114" i="3" s="1"/>
  <c r="L126" i="3"/>
  <c r="N126" i="3" s="1"/>
  <c r="Q126" i="3" s="1"/>
  <c r="L20" i="3"/>
  <c r="N20" i="3" s="1"/>
  <c r="L33" i="3"/>
  <c r="L34" i="3"/>
  <c r="L35" i="3"/>
  <c r="L36" i="3"/>
  <c r="L37" i="3"/>
  <c r="L38" i="3"/>
  <c r="O40" i="3"/>
  <c r="O47" i="3" s="1"/>
  <c r="O8" i="3" s="1"/>
  <c r="L59" i="3"/>
  <c r="N59" i="3" s="1"/>
  <c r="Q59" i="3" s="1"/>
  <c r="L71" i="3"/>
  <c r="N71" i="3" s="1"/>
  <c r="Q71" i="3" s="1"/>
  <c r="L85" i="3"/>
  <c r="N85" i="3" s="1"/>
  <c r="Q85" i="3" s="1"/>
  <c r="L109" i="3"/>
  <c r="N109" i="3" s="1"/>
  <c r="Q109" i="3" s="1"/>
  <c r="L121" i="3"/>
  <c r="N121" i="3" s="1"/>
  <c r="Q121" i="3" s="1"/>
  <c r="B21" i="11"/>
  <c r="C21" i="11"/>
  <c r="B22" i="11"/>
  <c r="C22" i="11"/>
  <c r="I22" i="11" s="1"/>
  <c r="C46" i="11"/>
  <c r="C47" i="11" s="1"/>
  <c r="B66" i="11"/>
  <c r="C66" i="11"/>
  <c r="B67" i="11"/>
  <c r="C67" i="11"/>
  <c r="I67" i="11" s="1"/>
  <c r="Q77" i="11"/>
  <c r="B78" i="11"/>
  <c r="C78" i="11"/>
  <c r="B79" i="11"/>
  <c r="C79" i="11"/>
  <c r="I79" i="11" s="1"/>
  <c r="C81" i="11"/>
  <c r="L81" i="11" s="1"/>
  <c r="N81" i="11" s="1"/>
  <c r="Q81" i="11" s="1"/>
  <c r="C82" i="11"/>
  <c r="I82" i="11" s="1"/>
  <c r="L82" i="11" s="1"/>
  <c r="I95" i="11"/>
  <c r="C106" i="11"/>
  <c r="C107" i="11"/>
  <c r="I107" i="11" s="1"/>
  <c r="C118" i="11"/>
  <c r="C119" i="11"/>
  <c r="I119" i="11" s="1"/>
  <c r="C130" i="11"/>
  <c r="C131" i="11"/>
  <c r="I131" i="11" s="1"/>
  <c r="P27" i="11"/>
  <c r="P7" i="11" s="1"/>
  <c r="P46" i="11"/>
  <c r="P53" i="11" s="1"/>
  <c r="P8" i="11" s="1"/>
  <c r="P72" i="11"/>
  <c r="O14" i="22" s="1"/>
  <c r="O67" i="22" s="1"/>
  <c r="P84" i="11"/>
  <c r="P100" i="11"/>
  <c r="P10" i="11" s="1"/>
  <c r="P112" i="11"/>
  <c r="P11" i="11" s="1"/>
  <c r="P124" i="11"/>
  <c r="P12" i="11" s="1"/>
  <c r="P136" i="11"/>
  <c r="P13" i="11" s="1"/>
  <c r="P38" i="18"/>
  <c r="P7" i="18" s="1"/>
  <c r="P111" i="18"/>
  <c r="P10" i="18" s="1"/>
  <c r="P66" i="18"/>
  <c r="P8" i="18" s="1"/>
  <c r="P267" i="18"/>
  <c r="P23" i="18" s="1"/>
  <c r="P583" i="5"/>
  <c r="P47" i="5" s="1"/>
  <c r="P218" i="15"/>
  <c r="P19" i="15" s="1"/>
  <c r="H46" i="11"/>
  <c r="H67" i="6"/>
  <c r="H37" i="14"/>
  <c r="H40" i="3"/>
  <c r="H44" i="4"/>
  <c r="B578" i="5"/>
  <c r="C578" i="5"/>
  <c r="H48" i="9"/>
  <c r="H55" i="10"/>
  <c r="H57" i="12"/>
  <c r="H52" i="13"/>
  <c r="B213" i="15"/>
  <c r="C213" i="15"/>
  <c r="H44" i="16"/>
  <c r="H39" i="17"/>
  <c r="H41" i="19"/>
  <c r="D27" i="11"/>
  <c r="D7" i="11" s="1"/>
  <c r="D15" i="11" s="1"/>
  <c r="D12" i="20" s="1"/>
  <c r="D38" i="18"/>
  <c r="D7" i="18" s="1"/>
  <c r="D26" i="18" s="1"/>
  <c r="D19" i="20" s="1"/>
  <c r="D24" i="14"/>
  <c r="D7" i="3"/>
  <c r="D15" i="3" s="1"/>
  <c r="D4" i="20" s="1"/>
  <c r="D26" i="4"/>
  <c r="D66" i="5"/>
  <c r="D7" i="5" s="1"/>
  <c r="D52" i="5" s="1"/>
  <c r="D6" i="20" s="1"/>
  <c r="D49" i="6"/>
  <c r="D32" i="7"/>
  <c r="D7" i="7" s="1"/>
  <c r="D20" i="7" s="1"/>
  <c r="D8" i="20" s="1"/>
  <c r="D23" i="8"/>
  <c r="D16" i="9"/>
  <c r="D10" i="20" s="1"/>
  <c r="D34" i="10"/>
  <c r="D34" i="12"/>
  <c r="D37" i="13"/>
  <c r="D7" i="13" s="1"/>
  <c r="D25" i="13" s="1"/>
  <c r="D14" i="20" s="1"/>
  <c r="D37" i="15"/>
  <c r="D7" i="15" s="1"/>
  <c r="D25" i="15" s="1"/>
  <c r="D16" i="20" s="1"/>
  <c r="D26" i="16"/>
  <c r="D24" i="17"/>
  <c r="D7" i="17" s="1"/>
  <c r="D12" i="17" s="1"/>
  <c r="D18" i="20" s="1"/>
  <c r="D24" i="19"/>
  <c r="D7" i="19" s="1"/>
  <c r="D12" i="19" s="1"/>
  <c r="D20" i="20" s="1"/>
  <c r="F7" i="21"/>
  <c r="G7" i="21"/>
  <c r="H7" i="21"/>
  <c r="I7" i="21"/>
  <c r="J7" i="21"/>
  <c r="L7" i="21"/>
  <c r="N7" i="21"/>
  <c r="O7" i="21"/>
  <c r="G8" i="21"/>
  <c r="I8" i="21"/>
  <c r="J8" i="21"/>
  <c r="L8" i="21"/>
  <c r="N8" i="21"/>
  <c r="O8" i="21"/>
  <c r="F9" i="21"/>
  <c r="I9" i="21"/>
  <c r="J9" i="21"/>
  <c r="L9" i="21"/>
  <c r="N9" i="21"/>
  <c r="O9" i="21"/>
  <c r="F11" i="21"/>
  <c r="G11" i="21"/>
  <c r="H11" i="21"/>
  <c r="I11" i="21"/>
  <c r="J11" i="21"/>
  <c r="L11" i="21"/>
  <c r="N11" i="21"/>
  <c r="O11" i="21"/>
  <c r="F12" i="21"/>
  <c r="G12" i="21"/>
  <c r="H12" i="21"/>
  <c r="I12" i="21"/>
  <c r="J12" i="21"/>
  <c r="L12" i="21"/>
  <c r="N12" i="21"/>
  <c r="O12" i="21"/>
  <c r="E12" i="21"/>
  <c r="E11" i="21"/>
  <c r="E9" i="21"/>
  <c r="E7" i="21"/>
  <c r="J27" i="3"/>
  <c r="K27" i="3"/>
  <c r="J19" i="21" s="1"/>
  <c r="M27" i="3"/>
  <c r="O27" i="3"/>
  <c r="N19" i="21" s="1"/>
  <c r="J26" i="4"/>
  <c r="K26" i="4"/>
  <c r="J20" i="21" s="1"/>
  <c r="M26" i="4"/>
  <c r="L20" i="21" s="1"/>
  <c r="J66" i="5"/>
  <c r="I21" i="21" s="1"/>
  <c r="K66" i="5"/>
  <c r="J21" i="21" s="1"/>
  <c r="M66" i="5"/>
  <c r="L21" i="21" s="1"/>
  <c r="O66" i="5"/>
  <c r="N21" i="21" s="1"/>
  <c r="J49" i="6"/>
  <c r="I22" i="21" s="1"/>
  <c r="K49" i="6"/>
  <c r="M49" i="6"/>
  <c r="L22" i="21" s="1"/>
  <c r="O49" i="6"/>
  <c r="N22" i="21" s="1"/>
  <c r="J32" i="7"/>
  <c r="I23" i="21" s="1"/>
  <c r="K32" i="7"/>
  <c r="K7" i="7" s="1"/>
  <c r="M32" i="7"/>
  <c r="O32" i="7"/>
  <c r="N23" i="21" s="1"/>
  <c r="J23" i="8"/>
  <c r="I24" i="21" s="1"/>
  <c r="K23" i="8"/>
  <c r="K7" i="8" s="1"/>
  <c r="M23" i="8"/>
  <c r="M7" i="8" s="1"/>
  <c r="J28" i="9"/>
  <c r="I25" i="21" s="1"/>
  <c r="K28" i="9"/>
  <c r="K7" i="9" s="1"/>
  <c r="M28" i="9"/>
  <c r="J34" i="10"/>
  <c r="I26" i="21" s="1"/>
  <c r="K34" i="10"/>
  <c r="J26" i="21" s="1"/>
  <c r="M34" i="10"/>
  <c r="L26" i="21" s="1"/>
  <c r="J27" i="11"/>
  <c r="I27" i="21" s="1"/>
  <c r="K27" i="11"/>
  <c r="J27" i="21" s="1"/>
  <c r="M27" i="11"/>
  <c r="O27" i="11"/>
  <c r="N27" i="21" s="1"/>
  <c r="J34" i="12"/>
  <c r="I28" i="21" s="1"/>
  <c r="K34" i="12"/>
  <c r="K7" i="12" s="1"/>
  <c r="M34" i="12"/>
  <c r="L28" i="21" s="1"/>
  <c r="J37" i="13"/>
  <c r="I29" i="21" s="1"/>
  <c r="K37" i="13"/>
  <c r="J29" i="21" s="1"/>
  <c r="M37" i="13"/>
  <c r="L29" i="21" s="1"/>
  <c r="J24" i="14"/>
  <c r="I30" i="21" s="1"/>
  <c r="K24" i="14"/>
  <c r="J30" i="21" s="1"/>
  <c r="M24" i="14"/>
  <c r="L30" i="21" s="1"/>
  <c r="J37" i="15"/>
  <c r="I31" i="21" s="1"/>
  <c r="K37" i="15"/>
  <c r="M37" i="15"/>
  <c r="L31" i="21" s="1"/>
  <c r="J26" i="16"/>
  <c r="I32" i="21" s="1"/>
  <c r="K26" i="16"/>
  <c r="J32" i="21" s="1"/>
  <c r="M26" i="16"/>
  <c r="L32" i="21" s="1"/>
  <c r="J24" i="17"/>
  <c r="I33" i="21" s="1"/>
  <c r="K24" i="17"/>
  <c r="M24" i="17"/>
  <c r="L33" i="21" s="1"/>
  <c r="J38" i="18"/>
  <c r="I34" i="21" s="1"/>
  <c r="K38" i="18"/>
  <c r="J34" i="21" s="1"/>
  <c r="M38" i="18"/>
  <c r="L34" i="21" s="1"/>
  <c r="O38" i="18"/>
  <c r="J24" i="19"/>
  <c r="K24" i="19"/>
  <c r="J35" i="21" s="1"/>
  <c r="M24" i="19"/>
  <c r="M7" i="19" s="1"/>
  <c r="O24" i="19"/>
  <c r="N35" i="21" s="1"/>
  <c r="M41" i="19"/>
  <c r="M48" i="19" s="1"/>
  <c r="M8" i="19" s="1"/>
  <c r="M93" i="19"/>
  <c r="M10" i="19" s="1"/>
  <c r="L140" i="18"/>
  <c r="N140" i="18" s="1"/>
  <c r="Q140" i="18" s="1"/>
  <c r="B141" i="18"/>
  <c r="C141" i="18"/>
  <c r="I141" i="18" s="1"/>
  <c r="B142" i="18"/>
  <c r="C142" i="18"/>
  <c r="L144" i="18"/>
  <c r="N144" i="18" s="1"/>
  <c r="Q144" i="18" s="1"/>
  <c r="L145" i="18"/>
  <c r="N145" i="18" s="1"/>
  <c r="Q145" i="18" s="1"/>
  <c r="M147" i="18"/>
  <c r="M13" i="18" s="1"/>
  <c r="M66" i="18"/>
  <c r="M8" i="18" s="1"/>
  <c r="M111" i="18"/>
  <c r="M10" i="18" s="1"/>
  <c r="M123" i="18"/>
  <c r="M11" i="18" s="1"/>
  <c r="M135" i="18"/>
  <c r="M12" i="18" s="1"/>
  <c r="M159" i="18"/>
  <c r="M14" i="18" s="1"/>
  <c r="M171" i="18"/>
  <c r="M15" i="18" s="1"/>
  <c r="M183" i="18"/>
  <c r="M16" i="18" s="1"/>
  <c r="M195" i="18"/>
  <c r="M17" i="18" s="1"/>
  <c r="M207" i="18"/>
  <c r="M18" i="18" s="1"/>
  <c r="M219" i="18"/>
  <c r="M19" i="18" s="1"/>
  <c r="M231" i="18"/>
  <c r="M20" i="18" s="1"/>
  <c r="M243" i="18"/>
  <c r="M21" i="18" s="1"/>
  <c r="M255" i="18"/>
  <c r="M22" i="18" s="1"/>
  <c r="M267" i="18"/>
  <c r="M23" i="18" s="1"/>
  <c r="M279" i="18"/>
  <c r="M24" i="18" s="1"/>
  <c r="M39" i="17"/>
  <c r="M46" i="17" s="1"/>
  <c r="M8" i="17" s="1"/>
  <c r="M44" i="16"/>
  <c r="M51" i="16" s="1"/>
  <c r="M8" i="16" s="1"/>
  <c r="M96" i="16"/>
  <c r="M10" i="16" s="1"/>
  <c r="M108" i="16"/>
  <c r="M11" i="16" s="1"/>
  <c r="M120" i="16"/>
  <c r="M12" i="16" s="1"/>
  <c r="M218" i="15"/>
  <c r="M19" i="15" s="1"/>
  <c r="M65" i="15"/>
  <c r="M8" i="15" s="1"/>
  <c r="M110" i="15"/>
  <c r="M10" i="15" s="1"/>
  <c r="M122" i="15"/>
  <c r="M11" i="15" s="1"/>
  <c r="M134" i="15"/>
  <c r="M12" i="15" s="1"/>
  <c r="M146" i="15"/>
  <c r="M13" i="15" s="1"/>
  <c r="M158" i="15"/>
  <c r="M14" i="15" s="1"/>
  <c r="M170" i="15"/>
  <c r="M15" i="15" s="1"/>
  <c r="M182" i="15"/>
  <c r="M16" i="15" s="1"/>
  <c r="M194" i="15"/>
  <c r="M17" i="15" s="1"/>
  <c r="M230" i="15"/>
  <c r="M20" i="15" s="1"/>
  <c r="M242" i="15"/>
  <c r="M21" i="15" s="1"/>
  <c r="M254" i="15"/>
  <c r="M22" i="15" s="1"/>
  <c r="M266" i="15"/>
  <c r="M23" i="15" s="1"/>
  <c r="M206" i="15"/>
  <c r="M18" i="15" s="1"/>
  <c r="L211" i="15"/>
  <c r="N211" i="15" s="1"/>
  <c r="Q211" i="15" s="1"/>
  <c r="B212" i="15"/>
  <c r="C212" i="15"/>
  <c r="I213" i="15"/>
  <c r="L215" i="15"/>
  <c r="N215" i="15" s="1"/>
  <c r="Q215" i="15" s="1"/>
  <c r="L216" i="15"/>
  <c r="N216" i="15" s="1"/>
  <c r="Q216" i="15" s="1"/>
  <c r="M37" i="14"/>
  <c r="M44" i="14" s="1"/>
  <c r="M8" i="14" s="1"/>
  <c r="M89" i="14"/>
  <c r="M10" i="14" s="1"/>
  <c r="M52" i="13"/>
  <c r="M59" i="13" s="1"/>
  <c r="M8" i="13" s="1"/>
  <c r="M116" i="13"/>
  <c r="M11" i="13" s="1"/>
  <c r="M128" i="13"/>
  <c r="M12" i="13" s="1"/>
  <c r="M140" i="13"/>
  <c r="M13" i="13" s="1"/>
  <c r="M152" i="13"/>
  <c r="M14" i="13" s="1"/>
  <c r="M164" i="13"/>
  <c r="M15" i="13" s="1"/>
  <c r="M176" i="13"/>
  <c r="M16" i="13" s="1"/>
  <c r="M188" i="13"/>
  <c r="M17" i="13" s="1"/>
  <c r="M200" i="13"/>
  <c r="M18" i="13" s="1"/>
  <c r="M212" i="13"/>
  <c r="M19" i="13" s="1"/>
  <c r="M224" i="13"/>
  <c r="M20" i="13" s="1"/>
  <c r="M236" i="13"/>
  <c r="M21" i="13" s="1"/>
  <c r="M248" i="13"/>
  <c r="M22" i="13" s="1"/>
  <c r="M260" i="13"/>
  <c r="M23" i="13" s="1"/>
  <c r="M57" i="12"/>
  <c r="M64" i="12" s="1"/>
  <c r="M8" i="12" s="1"/>
  <c r="M109" i="12"/>
  <c r="M10" i="12" s="1"/>
  <c r="M121" i="12"/>
  <c r="M11" i="12" s="1"/>
  <c r="M133" i="12"/>
  <c r="M12" i="12" s="1"/>
  <c r="M145" i="12"/>
  <c r="M13" i="12" s="1"/>
  <c r="M157" i="12"/>
  <c r="M14" i="12" s="1"/>
  <c r="M169" i="12"/>
  <c r="M15" i="12" s="1"/>
  <c r="M181" i="12"/>
  <c r="M16" i="12" s="1"/>
  <c r="M193" i="12"/>
  <c r="M17" i="12" s="1"/>
  <c r="M205" i="12"/>
  <c r="M18" i="12" s="1"/>
  <c r="M217" i="12"/>
  <c r="M19" i="12" s="1"/>
  <c r="M229" i="12"/>
  <c r="M20" i="12" s="1"/>
  <c r="M46" i="11"/>
  <c r="M53" i="11" s="1"/>
  <c r="M8" i="11" s="1"/>
  <c r="M72" i="11"/>
  <c r="M84" i="11"/>
  <c r="M100" i="11"/>
  <c r="M10" i="11" s="1"/>
  <c r="M112" i="11"/>
  <c r="M11" i="11" s="1"/>
  <c r="M124" i="11"/>
  <c r="M12" i="11" s="1"/>
  <c r="M136" i="11"/>
  <c r="M13" i="11" s="1"/>
  <c r="M55" i="10"/>
  <c r="M62" i="10" s="1"/>
  <c r="M8" i="10" s="1"/>
  <c r="M107" i="10"/>
  <c r="M10" i="10" s="1"/>
  <c r="M119" i="10"/>
  <c r="M11" i="10" s="1"/>
  <c r="M131" i="10"/>
  <c r="M12" i="10" s="1"/>
  <c r="M143" i="10"/>
  <c r="M13" i="10" s="1"/>
  <c r="M155" i="10"/>
  <c r="M14" i="10" s="1"/>
  <c r="M167" i="10"/>
  <c r="M15" i="10" s="1"/>
  <c r="M179" i="10"/>
  <c r="M16" i="10" s="1"/>
  <c r="M191" i="10"/>
  <c r="M17" i="10" s="1"/>
  <c r="M203" i="10"/>
  <c r="M18" i="10" s="1"/>
  <c r="M215" i="10"/>
  <c r="M19" i="10" s="1"/>
  <c r="M227" i="10"/>
  <c r="M20" i="10" s="1"/>
  <c r="M48" i="9"/>
  <c r="M56" i="9" s="1"/>
  <c r="M8" i="9" s="1"/>
  <c r="M75" i="9"/>
  <c r="L12" i="22" s="1"/>
  <c r="M100" i="9"/>
  <c r="M10" i="9" s="1"/>
  <c r="M112" i="9"/>
  <c r="M11" i="9" s="1"/>
  <c r="M124" i="9"/>
  <c r="M12" i="9" s="1"/>
  <c r="M135" i="9"/>
  <c r="M13" i="9" s="1"/>
  <c r="M146" i="9"/>
  <c r="M14" i="9" s="1"/>
  <c r="M37" i="8"/>
  <c r="M44" i="8" s="1"/>
  <c r="M8" i="8" s="1"/>
  <c r="M63" i="8"/>
  <c r="L11" i="22" s="1"/>
  <c r="L64" i="22" s="1"/>
  <c r="M63" i="7"/>
  <c r="M8" i="7" s="1"/>
  <c r="M108" i="7"/>
  <c r="M10" i="7" s="1"/>
  <c r="M120" i="7"/>
  <c r="M11" i="7" s="1"/>
  <c r="M132" i="7"/>
  <c r="M12" i="7" s="1"/>
  <c r="M144" i="7"/>
  <c r="M13" i="7" s="1"/>
  <c r="M156" i="7"/>
  <c r="M14" i="7" s="1"/>
  <c r="M168" i="7"/>
  <c r="M15" i="7" s="1"/>
  <c r="M180" i="7"/>
  <c r="M16" i="7" s="1"/>
  <c r="M192" i="7"/>
  <c r="M17" i="7" s="1"/>
  <c r="M204" i="7"/>
  <c r="M18" i="7" s="1"/>
  <c r="M191" i="6"/>
  <c r="M16" i="6" s="1"/>
  <c r="M335" i="6"/>
  <c r="M28" i="6" s="1"/>
  <c r="M67" i="6"/>
  <c r="M74" i="6" s="1"/>
  <c r="M8" i="6" s="1"/>
  <c r="M119" i="6"/>
  <c r="M10" i="6" s="1"/>
  <c r="M131" i="6"/>
  <c r="M11" i="6" s="1"/>
  <c r="M143" i="6"/>
  <c r="M12" i="6" s="1"/>
  <c r="M155" i="6"/>
  <c r="M13" i="6" s="1"/>
  <c r="M167" i="6"/>
  <c r="M14" i="6" s="1"/>
  <c r="M179" i="6"/>
  <c r="M15" i="6" s="1"/>
  <c r="M203" i="6"/>
  <c r="M17" i="6" s="1"/>
  <c r="M215" i="6"/>
  <c r="M18" i="6" s="1"/>
  <c r="M227" i="6"/>
  <c r="M19" i="6" s="1"/>
  <c r="M251" i="6"/>
  <c r="M21" i="6" s="1"/>
  <c r="M239" i="6"/>
  <c r="M20" i="6" s="1"/>
  <c r="M263" i="6"/>
  <c r="M22" i="6" s="1"/>
  <c r="M275" i="6"/>
  <c r="M23" i="6" s="1"/>
  <c r="M287" i="6"/>
  <c r="M24" i="6" s="1"/>
  <c r="M299" i="6"/>
  <c r="M25" i="6" s="1"/>
  <c r="M311" i="6"/>
  <c r="M26" i="6" s="1"/>
  <c r="M323" i="6"/>
  <c r="M27" i="6" s="1"/>
  <c r="M359" i="6"/>
  <c r="M30" i="6" s="1"/>
  <c r="M371" i="6"/>
  <c r="M31" i="6" s="1"/>
  <c r="M383" i="6"/>
  <c r="M32" i="6" s="1"/>
  <c r="M395" i="6"/>
  <c r="M33" i="6" s="1"/>
  <c r="M407" i="6"/>
  <c r="M34" i="6" s="1"/>
  <c r="M419" i="6"/>
  <c r="M35" i="6" s="1"/>
  <c r="L184" i="6"/>
  <c r="N184" i="6" s="1"/>
  <c r="Q184" i="6" s="1"/>
  <c r="B185" i="6"/>
  <c r="C185" i="6"/>
  <c r="I185" i="6" s="1"/>
  <c r="B186" i="6"/>
  <c r="C186" i="6"/>
  <c r="L188" i="6"/>
  <c r="N188" i="6" s="1"/>
  <c r="Q188" i="6" s="1"/>
  <c r="L189" i="6"/>
  <c r="N189" i="6" s="1"/>
  <c r="Q189" i="6" s="1"/>
  <c r="L328" i="6"/>
  <c r="N328" i="6" s="1"/>
  <c r="Q328" i="6" s="1"/>
  <c r="B329" i="6"/>
  <c r="C329" i="6"/>
  <c r="B330" i="6"/>
  <c r="C330" i="6"/>
  <c r="I330" i="6" s="1"/>
  <c r="L332" i="6"/>
  <c r="N332" i="6" s="1"/>
  <c r="Q332" i="6" s="1"/>
  <c r="L333" i="6"/>
  <c r="N333" i="6" s="1"/>
  <c r="Q333" i="6" s="1"/>
  <c r="M583" i="5"/>
  <c r="M47" i="5" s="1"/>
  <c r="M83" i="5"/>
  <c r="M90" i="5" s="1"/>
  <c r="M8" i="5" s="1"/>
  <c r="M135" i="5"/>
  <c r="M10" i="5" s="1"/>
  <c r="M147" i="5"/>
  <c r="M11" i="5" s="1"/>
  <c r="M160" i="5"/>
  <c r="M12" i="5" s="1"/>
  <c r="M172" i="5"/>
  <c r="M13" i="5" s="1"/>
  <c r="M186" i="5"/>
  <c r="M14" i="5" s="1"/>
  <c r="M198" i="5"/>
  <c r="M15" i="5" s="1"/>
  <c r="M210" i="5"/>
  <c r="M16" i="5" s="1"/>
  <c r="M222" i="5"/>
  <c r="M17" i="5" s="1"/>
  <c r="M234" i="5"/>
  <c r="M18" i="5" s="1"/>
  <c r="M246" i="5"/>
  <c r="M19" i="5" s="1"/>
  <c r="M258" i="5"/>
  <c r="M20" i="5" s="1"/>
  <c r="M270" i="5"/>
  <c r="M21" i="5" s="1"/>
  <c r="M282" i="5"/>
  <c r="M22" i="5" s="1"/>
  <c r="M294" i="5"/>
  <c r="M23" i="5" s="1"/>
  <c r="M306" i="5"/>
  <c r="M24" i="5" s="1"/>
  <c r="M318" i="5"/>
  <c r="M25" i="5" s="1"/>
  <c r="M330" i="5"/>
  <c r="M26" i="5" s="1"/>
  <c r="M342" i="5"/>
  <c r="M27" i="5" s="1"/>
  <c r="M355" i="5"/>
  <c r="M28" i="5" s="1"/>
  <c r="M367" i="5"/>
  <c r="M29" i="5" s="1"/>
  <c r="M379" i="5"/>
  <c r="M30" i="5" s="1"/>
  <c r="M391" i="5"/>
  <c r="M31" i="5" s="1"/>
  <c r="M415" i="5"/>
  <c r="M33" i="5" s="1"/>
  <c r="M427" i="5"/>
  <c r="M34" i="5" s="1"/>
  <c r="M439" i="5"/>
  <c r="M35" i="5" s="1"/>
  <c r="M451" i="5"/>
  <c r="M36" i="5" s="1"/>
  <c r="M463" i="5"/>
  <c r="M37" i="5" s="1"/>
  <c r="M475" i="5"/>
  <c r="M38" i="5" s="1"/>
  <c r="M487" i="5"/>
  <c r="M39" i="5" s="1"/>
  <c r="M499" i="5"/>
  <c r="M40" i="5" s="1"/>
  <c r="M511" i="5"/>
  <c r="M41" i="5" s="1"/>
  <c r="M523" i="5"/>
  <c r="M42" i="5" s="1"/>
  <c r="M535" i="5"/>
  <c r="M43" i="5" s="1"/>
  <c r="M547" i="5"/>
  <c r="M44" i="5" s="1"/>
  <c r="M559" i="5"/>
  <c r="M45" i="5" s="1"/>
  <c r="M571" i="5"/>
  <c r="M46" i="5" s="1"/>
  <c r="M595" i="5"/>
  <c r="M48" i="5" s="1"/>
  <c r="M607" i="5"/>
  <c r="M49" i="5" s="1"/>
  <c r="M619" i="5"/>
  <c r="M50" i="5" s="1"/>
  <c r="L576" i="5"/>
  <c r="N576" i="5" s="1"/>
  <c r="Q576" i="5" s="1"/>
  <c r="B577" i="5"/>
  <c r="C577" i="5"/>
  <c r="L580" i="5"/>
  <c r="N580" i="5" s="1"/>
  <c r="Q580" i="5" s="1"/>
  <c r="L581" i="5"/>
  <c r="N581" i="5" s="1"/>
  <c r="Q581" i="5" s="1"/>
  <c r="M44" i="4"/>
  <c r="M51" i="4" s="1"/>
  <c r="M8" i="4" s="1"/>
  <c r="M96" i="4"/>
  <c r="M10" i="4" s="1"/>
  <c r="M108" i="4"/>
  <c r="M11" i="4" s="1"/>
  <c r="M120" i="4"/>
  <c r="M12" i="4" s="1"/>
  <c r="M40" i="3"/>
  <c r="M47" i="3" s="1"/>
  <c r="M8" i="3" s="1"/>
  <c r="M92" i="3"/>
  <c r="M10" i="3" s="1"/>
  <c r="M104" i="3"/>
  <c r="M11" i="3" s="1"/>
  <c r="M116" i="3"/>
  <c r="M12" i="3" s="1"/>
  <c r="M128" i="3"/>
  <c r="M13" i="3" s="1"/>
  <c r="D66" i="3"/>
  <c r="D6" i="22" s="1"/>
  <c r="D70" i="4"/>
  <c r="D7" i="22" s="1"/>
  <c r="D60" i="22" s="1"/>
  <c r="D109" i="5"/>
  <c r="D8" i="22" s="1"/>
  <c r="D61" i="22" s="1"/>
  <c r="D93" i="6"/>
  <c r="D9" i="22" s="1"/>
  <c r="D62" i="22" s="1"/>
  <c r="K93" i="6"/>
  <c r="O9" i="22"/>
  <c r="D82" i="7"/>
  <c r="D10" i="22" s="1"/>
  <c r="D63" i="22" s="1"/>
  <c r="D63" i="8"/>
  <c r="D11" i="22" s="1"/>
  <c r="D64" i="22" s="1"/>
  <c r="J63" i="8"/>
  <c r="I11" i="22" s="1"/>
  <c r="I64" i="22" s="1"/>
  <c r="K63" i="8"/>
  <c r="J11" i="22" s="1"/>
  <c r="J64" i="22" s="1"/>
  <c r="D75" i="9"/>
  <c r="D12" i="22" s="1"/>
  <c r="D65" i="22" s="1"/>
  <c r="J75" i="9"/>
  <c r="I12" i="22" s="1"/>
  <c r="K75" i="9"/>
  <c r="J12" i="22" s="1"/>
  <c r="D81" i="10"/>
  <c r="D13" i="22" s="1"/>
  <c r="D66" i="22" s="1"/>
  <c r="B72" i="11"/>
  <c r="B14" i="22" s="1"/>
  <c r="B67" i="22" s="1"/>
  <c r="C72" i="11"/>
  <c r="C14" i="22" s="1"/>
  <c r="C67" i="22" s="1"/>
  <c r="D72" i="11"/>
  <c r="D14" i="22" s="1"/>
  <c r="D67" i="22" s="1"/>
  <c r="J72" i="11"/>
  <c r="I14" i="22" s="1"/>
  <c r="I67" i="22" s="1"/>
  <c r="K72" i="11"/>
  <c r="O72" i="11"/>
  <c r="N14" i="22" s="1"/>
  <c r="N67" i="22" s="1"/>
  <c r="D83" i="12"/>
  <c r="D15" i="22" s="1"/>
  <c r="D68" i="22" s="1"/>
  <c r="D78" i="13"/>
  <c r="D63" i="14"/>
  <c r="D17" i="22" s="1"/>
  <c r="D70" i="22" s="1"/>
  <c r="D84" i="15"/>
  <c r="D18" i="22" s="1"/>
  <c r="D71" i="22" s="1"/>
  <c r="D70" i="16"/>
  <c r="D19" i="22" s="1"/>
  <c r="D72" i="22" s="1"/>
  <c r="D65" i="17"/>
  <c r="D85" i="18"/>
  <c r="D21" i="22" s="1"/>
  <c r="D74" i="22" s="1"/>
  <c r="D67" i="19"/>
  <c r="D22" i="22" s="1"/>
  <c r="D75" i="22" s="1"/>
  <c r="O67" i="19"/>
  <c r="N22" i="22" s="1"/>
  <c r="D78" i="3"/>
  <c r="D32" i="22" s="1"/>
  <c r="D82" i="4"/>
  <c r="D33" i="22" s="1"/>
  <c r="D121" i="5"/>
  <c r="D34" i="22" s="1"/>
  <c r="D105" i="6"/>
  <c r="D35" i="22" s="1"/>
  <c r="K105" i="6"/>
  <c r="J35" i="22" s="1"/>
  <c r="D93" i="10"/>
  <c r="D39" i="22" s="1"/>
  <c r="D95" i="12"/>
  <c r="D41" i="22" s="1"/>
  <c r="D90" i="13"/>
  <c r="D42" i="22" s="1"/>
  <c r="D75" i="14"/>
  <c r="D43" i="22" s="1"/>
  <c r="D96" i="15"/>
  <c r="D44" i="22" s="1"/>
  <c r="D82" i="16"/>
  <c r="D45" i="22" s="1"/>
  <c r="D77" i="17"/>
  <c r="D46" i="22" s="1"/>
  <c r="D97" i="18"/>
  <c r="D47" i="22" s="1"/>
  <c r="D79" i="19"/>
  <c r="D48" i="22" s="1"/>
  <c r="D19" i="21"/>
  <c r="J40" i="3"/>
  <c r="J92" i="3"/>
  <c r="J10" i="3" s="1"/>
  <c r="J104" i="3"/>
  <c r="J11" i="3" s="1"/>
  <c r="J116" i="3"/>
  <c r="J12" i="3" s="1"/>
  <c r="J128" i="3"/>
  <c r="J13" i="3" s="1"/>
  <c r="K40" i="3"/>
  <c r="K47" i="3" s="1"/>
  <c r="K8" i="3" s="1"/>
  <c r="K92" i="3"/>
  <c r="K10" i="3" s="1"/>
  <c r="K104" i="3"/>
  <c r="K11" i="3" s="1"/>
  <c r="K116" i="3"/>
  <c r="K12" i="3" s="1"/>
  <c r="K128" i="3"/>
  <c r="K13" i="3" s="1"/>
  <c r="O92" i="3"/>
  <c r="O10" i="3" s="1"/>
  <c r="O104" i="3"/>
  <c r="O11" i="3" s="1"/>
  <c r="O116" i="3"/>
  <c r="O12" i="3" s="1"/>
  <c r="O128" i="3"/>
  <c r="O13" i="3" s="1"/>
  <c r="I44" i="4"/>
  <c r="J44" i="4"/>
  <c r="J51" i="4" s="1"/>
  <c r="J8" i="4" s="1"/>
  <c r="J96" i="4"/>
  <c r="J10" i="4" s="1"/>
  <c r="J108" i="4"/>
  <c r="J11" i="4" s="1"/>
  <c r="J120" i="4"/>
  <c r="J12" i="4" s="1"/>
  <c r="K44" i="4"/>
  <c r="K51" i="4" s="1"/>
  <c r="K8" i="4" s="1"/>
  <c r="K96" i="4"/>
  <c r="K10" i="4" s="1"/>
  <c r="K108" i="4"/>
  <c r="K11" i="4" s="1"/>
  <c r="K120" i="4"/>
  <c r="K12" i="4" s="1"/>
  <c r="E323" i="5"/>
  <c r="F324" i="5" s="1"/>
  <c r="F330" i="5" s="1"/>
  <c r="F332" i="5" s="1"/>
  <c r="F361" i="5"/>
  <c r="F367" i="5" s="1"/>
  <c r="F369" i="5" s="1"/>
  <c r="E408" i="5"/>
  <c r="F409" i="5" s="1"/>
  <c r="F415" i="5" s="1"/>
  <c r="F417" i="5" s="1"/>
  <c r="I83" i="5"/>
  <c r="J186" i="5"/>
  <c r="J14" i="5" s="1"/>
  <c r="J246" i="5"/>
  <c r="J19" i="5" s="1"/>
  <c r="J282" i="5"/>
  <c r="J22" i="5" s="1"/>
  <c r="J294" i="5"/>
  <c r="J23" i="5" s="1"/>
  <c r="J306" i="5"/>
  <c r="J24" i="5" s="1"/>
  <c r="J318" i="5"/>
  <c r="J25" i="5" s="1"/>
  <c r="J330" i="5"/>
  <c r="J26" i="5" s="1"/>
  <c r="J342" i="5"/>
  <c r="J27" i="5" s="1"/>
  <c r="J355" i="5"/>
  <c r="J28" i="5" s="1"/>
  <c r="J367" i="5"/>
  <c r="J29" i="5" s="1"/>
  <c r="J379" i="5"/>
  <c r="J30" i="5" s="1"/>
  <c r="J391" i="5"/>
  <c r="J31" i="5" s="1"/>
  <c r="J415" i="5"/>
  <c r="J33" i="5" s="1"/>
  <c r="J427" i="5"/>
  <c r="J34" i="5" s="1"/>
  <c r="J439" i="5"/>
  <c r="J35" i="5" s="1"/>
  <c r="J451" i="5"/>
  <c r="J36" i="5" s="1"/>
  <c r="J463" i="5"/>
  <c r="J37" i="5" s="1"/>
  <c r="J475" i="5"/>
  <c r="J38" i="5" s="1"/>
  <c r="J487" i="5"/>
  <c r="J39" i="5" s="1"/>
  <c r="J499" i="5"/>
  <c r="J40" i="5" s="1"/>
  <c r="J511" i="5"/>
  <c r="J41" i="5" s="1"/>
  <c r="J523" i="5"/>
  <c r="J42" i="5" s="1"/>
  <c r="J535" i="5"/>
  <c r="J43" i="5" s="1"/>
  <c r="J547" i="5"/>
  <c r="J44" i="5" s="1"/>
  <c r="J559" i="5"/>
  <c r="J45" i="5" s="1"/>
  <c r="J571" i="5"/>
  <c r="J46" i="5" s="1"/>
  <c r="J595" i="5"/>
  <c r="J48" i="5" s="1"/>
  <c r="J607" i="5"/>
  <c r="J49" i="5" s="1"/>
  <c r="J619" i="5"/>
  <c r="J50" i="5" s="1"/>
  <c r="J135" i="5"/>
  <c r="J10" i="5" s="1"/>
  <c r="J160" i="5"/>
  <c r="J12" i="5" s="1"/>
  <c r="J172" i="5"/>
  <c r="J13" i="5" s="1"/>
  <c r="J198" i="5"/>
  <c r="J15" i="5" s="1"/>
  <c r="J210" i="5"/>
  <c r="J16" i="5" s="1"/>
  <c r="J222" i="5"/>
  <c r="J17" i="5" s="1"/>
  <c r="J234" i="5"/>
  <c r="J18" i="5" s="1"/>
  <c r="J258" i="5"/>
  <c r="J20" i="5" s="1"/>
  <c r="J270" i="5"/>
  <c r="J21" i="5" s="1"/>
  <c r="J583" i="5"/>
  <c r="J47" i="5" s="1"/>
  <c r="K83" i="5"/>
  <c r="K90" i="5" s="1"/>
  <c r="K8" i="5" s="1"/>
  <c r="K186" i="5"/>
  <c r="K14" i="5" s="1"/>
  <c r="K246" i="5"/>
  <c r="K19" i="5" s="1"/>
  <c r="K282" i="5"/>
  <c r="K22" i="5" s="1"/>
  <c r="K294" i="5"/>
  <c r="K23" i="5" s="1"/>
  <c r="K306" i="5"/>
  <c r="K24" i="5" s="1"/>
  <c r="K318" i="5"/>
  <c r="K25" i="5" s="1"/>
  <c r="K330" i="5"/>
  <c r="K26" i="5" s="1"/>
  <c r="K342" i="5"/>
  <c r="K27" i="5" s="1"/>
  <c r="K355" i="5"/>
  <c r="K28" i="5" s="1"/>
  <c r="K367" i="5"/>
  <c r="K29" i="5" s="1"/>
  <c r="K379" i="5"/>
  <c r="K30" i="5" s="1"/>
  <c r="K391" i="5"/>
  <c r="K31" i="5" s="1"/>
  <c r="K415" i="5"/>
  <c r="K33" i="5" s="1"/>
  <c r="K427" i="5"/>
  <c r="K34" i="5" s="1"/>
  <c r="K439" i="5"/>
  <c r="K35" i="5" s="1"/>
  <c r="K451" i="5"/>
  <c r="K36" i="5" s="1"/>
  <c r="K463" i="5"/>
  <c r="K37" i="5" s="1"/>
  <c r="K475" i="5"/>
  <c r="K38" i="5" s="1"/>
  <c r="K487" i="5"/>
  <c r="K39" i="5" s="1"/>
  <c r="K499" i="5"/>
  <c r="K40" i="5" s="1"/>
  <c r="K511" i="5"/>
  <c r="K41" i="5" s="1"/>
  <c r="K523" i="5"/>
  <c r="K42" i="5" s="1"/>
  <c r="K535" i="5"/>
  <c r="K43" i="5" s="1"/>
  <c r="K547" i="5"/>
  <c r="K44" i="5" s="1"/>
  <c r="K559" i="5"/>
  <c r="K45" i="5" s="1"/>
  <c r="K571" i="5"/>
  <c r="K46" i="5" s="1"/>
  <c r="K595" i="5"/>
  <c r="K48" i="5" s="1"/>
  <c r="K607" i="5"/>
  <c r="K49" i="5" s="1"/>
  <c r="K619" i="5"/>
  <c r="K50" i="5" s="1"/>
  <c r="K135" i="5"/>
  <c r="K10" i="5" s="1"/>
  <c r="K160" i="5"/>
  <c r="K12" i="5" s="1"/>
  <c r="K172" i="5"/>
  <c r="K13" i="5" s="1"/>
  <c r="K198" i="5"/>
  <c r="K15" i="5" s="1"/>
  <c r="K210" i="5"/>
  <c r="K16" i="5" s="1"/>
  <c r="K222" i="5"/>
  <c r="K17" i="5" s="1"/>
  <c r="K234" i="5"/>
  <c r="K18" i="5" s="1"/>
  <c r="K258" i="5"/>
  <c r="K20" i="5" s="1"/>
  <c r="K270" i="5"/>
  <c r="K21" i="5" s="1"/>
  <c r="K583" i="5"/>
  <c r="K47" i="5" s="1"/>
  <c r="K147" i="5"/>
  <c r="K11" i="5" s="1"/>
  <c r="L72" i="5"/>
  <c r="N72" i="5" s="1"/>
  <c r="Q72" i="5" s="1"/>
  <c r="L177" i="5"/>
  <c r="L178" i="5"/>
  <c r="N178" i="5" s="1"/>
  <c r="L179" i="5"/>
  <c r="N179" i="5" s="1"/>
  <c r="L239" i="5"/>
  <c r="N239" i="5" s="1"/>
  <c r="Q239" i="5" s="1"/>
  <c r="L275" i="5"/>
  <c r="N275" i="5" s="1"/>
  <c r="Q275" i="5" s="1"/>
  <c r="L287" i="5"/>
  <c r="N287" i="5" s="1"/>
  <c r="Q287" i="5" s="1"/>
  <c r="L299" i="5"/>
  <c r="N299" i="5" s="1"/>
  <c r="Q299" i="5" s="1"/>
  <c r="L311" i="5"/>
  <c r="N311" i="5" s="1"/>
  <c r="Q311" i="5" s="1"/>
  <c r="L335" i="5"/>
  <c r="N335" i="5" s="1"/>
  <c r="L348" i="5"/>
  <c r="N348" i="5" s="1"/>
  <c r="Q348" i="5" s="1"/>
  <c r="L372" i="5"/>
  <c r="N372" i="5" s="1"/>
  <c r="Q372" i="5" s="1"/>
  <c r="L384" i="5"/>
  <c r="N384" i="5" s="1"/>
  <c r="Q384" i="5" s="1"/>
  <c r="L432" i="5"/>
  <c r="N432" i="5" s="1"/>
  <c r="L444" i="5"/>
  <c r="N444" i="5" s="1"/>
  <c r="Q444" i="5" s="1"/>
  <c r="L456" i="5"/>
  <c r="L492" i="5"/>
  <c r="N492" i="5" s="1"/>
  <c r="Q492" i="5" s="1"/>
  <c r="L504" i="5"/>
  <c r="N504" i="5" s="1"/>
  <c r="Q504" i="5" s="1"/>
  <c r="L516" i="5"/>
  <c r="N516" i="5" s="1"/>
  <c r="Q516" i="5" s="1"/>
  <c r="L528" i="5"/>
  <c r="N528" i="5" s="1"/>
  <c r="Q528" i="5" s="1"/>
  <c r="L540" i="5"/>
  <c r="N540" i="5" s="1"/>
  <c r="Q540" i="5" s="1"/>
  <c r="L600" i="5"/>
  <c r="N600" i="5" s="1"/>
  <c r="Q600" i="5" s="1"/>
  <c r="L612" i="5"/>
  <c r="N612" i="5" s="1"/>
  <c r="Q612" i="5" s="1"/>
  <c r="L152" i="5"/>
  <c r="L153" i="5"/>
  <c r="N153" i="5" s="1"/>
  <c r="L165" i="5"/>
  <c r="N165" i="5" s="1"/>
  <c r="Q165" i="5" s="1"/>
  <c r="L191" i="5"/>
  <c r="N191" i="5" s="1"/>
  <c r="Q191" i="5" s="1"/>
  <c r="L203" i="5"/>
  <c r="N203" i="5" s="1"/>
  <c r="Q203" i="5" s="1"/>
  <c r="N215" i="5"/>
  <c r="L227" i="5"/>
  <c r="N227" i="5" s="1"/>
  <c r="Q227" i="5" s="1"/>
  <c r="L251" i="5"/>
  <c r="N251" i="5" s="1"/>
  <c r="L263" i="5"/>
  <c r="N263" i="5" s="1"/>
  <c r="Q263" i="5" s="1"/>
  <c r="O135" i="5"/>
  <c r="O10" i="5" s="1"/>
  <c r="O160" i="5"/>
  <c r="O12" i="5" s="1"/>
  <c r="O172" i="5"/>
  <c r="O13" i="5" s="1"/>
  <c r="O186" i="5"/>
  <c r="O14" i="5" s="1"/>
  <c r="O367" i="5"/>
  <c r="O29" i="5" s="1"/>
  <c r="O463" i="5"/>
  <c r="O37" i="5" s="1"/>
  <c r="O475" i="5"/>
  <c r="O38" i="5" s="1"/>
  <c r="O487" i="5"/>
  <c r="O39" i="5" s="1"/>
  <c r="O511" i="5"/>
  <c r="O41" i="5" s="1"/>
  <c r="O535" i="5"/>
  <c r="O43" i="5" s="1"/>
  <c r="O595" i="5"/>
  <c r="O48" i="5" s="1"/>
  <c r="O607" i="5"/>
  <c r="O49" i="5" s="1"/>
  <c r="O583" i="5"/>
  <c r="O47" i="5" s="1"/>
  <c r="O427" i="5"/>
  <c r="O34" i="5" s="1"/>
  <c r="O147" i="5"/>
  <c r="O11" i="5" s="1"/>
  <c r="I67" i="6"/>
  <c r="I359" i="6"/>
  <c r="I30" i="6" s="1"/>
  <c r="J67" i="6"/>
  <c r="J119" i="6"/>
  <c r="J10" i="6" s="1"/>
  <c r="J131" i="6"/>
  <c r="J11" i="6" s="1"/>
  <c r="J143" i="6"/>
  <c r="J12" i="6" s="1"/>
  <c r="J155" i="6"/>
  <c r="J13" i="6" s="1"/>
  <c r="J167" i="6"/>
  <c r="J14" i="6" s="1"/>
  <c r="J179" i="6"/>
  <c r="J15" i="6" s="1"/>
  <c r="J203" i="6"/>
  <c r="J17" i="6" s="1"/>
  <c r="J215" i="6"/>
  <c r="J18" i="6" s="1"/>
  <c r="J227" i="6"/>
  <c r="J19" i="6" s="1"/>
  <c r="J239" i="6"/>
  <c r="J20" i="6" s="1"/>
  <c r="J251" i="6"/>
  <c r="J21" i="6" s="1"/>
  <c r="J263" i="6"/>
  <c r="J22" i="6" s="1"/>
  <c r="J275" i="6"/>
  <c r="J23" i="6" s="1"/>
  <c r="J287" i="6"/>
  <c r="J24" i="6" s="1"/>
  <c r="J299" i="6"/>
  <c r="J25" i="6" s="1"/>
  <c r="J311" i="6"/>
  <c r="J26" i="6" s="1"/>
  <c r="J323" i="6"/>
  <c r="J27" i="6" s="1"/>
  <c r="J347" i="6"/>
  <c r="J29" i="6" s="1"/>
  <c r="J359" i="6"/>
  <c r="J30" i="6" s="1"/>
  <c r="J371" i="6"/>
  <c r="J31" i="6" s="1"/>
  <c r="J383" i="6"/>
  <c r="J32" i="6" s="1"/>
  <c r="J395" i="6"/>
  <c r="J33" i="6" s="1"/>
  <c r="J407" i="6"/>
  <c r="J34" i="6" s="1"/>
  <c r="J419" i="6"/>
  <c r="J35" i="6" s="1"/>
  <c r="J191" i="6"/>
  <c r="J16" i="6" s="1"/>
  <c r="J335" i="6"/>
  <c r="J28" i="6" s="1"/>
  <c r="K119" i="6"/>
  <c r="K10" i="6" s="1"/>
  <c r="K131" i="6"/>
  <c r="K11" i="6" s="1"/>
  <c r="K143" i="6"/>
  <c r="K12" i="6" s="1"/>
  <c r="K155" i="6"/>
  <c r="K13" i="6" s="1"/>
  <c r="K167" i="6"/>
  <c r="K14" i="6" s="1"/>
  <c r="K179" i="6"/>
  <c r="K15" i="6" s="1"/>
  <c r="K203" i="6"/>
  <c r="K17" i="6" s="1"/>
  <c r="K215" i="6"/>
  <c r="K18" i="6" s="1"/>
  <c r="K227" i="6"/>
  <c r="K19" i="6" s="1"/>
  <c r="K239" i="6"/>
  <c r="K20" i="6" s="1"/>
  <c r="K251" i="6"/>
  <c r="K21" i="6" s="1"/>
  <c r="K263" i="6"/>
  <c r="K22" i="6" s="1"/>
  <c r="K275" i="6"/>
  <c r="K23" i="6" s="1"/>
  <c r="K287" i="6"/>
  <c r="K24" i="6" s="1"/>
  <c r="K299" i="6"/>
  <c r="K25" i="6" s="1"/>
  <c r="K311" i="6"/>
  <c r="K26" i="6" s="1"/>
  <c r="K323" i="6"/>
  <c r="K27" i="6" s="1"/>
  <c r="K347" i="6"/>
  <c r="K29" i="6" s="1"/>
  <c r="K359" i="6"/>
  <c r="K30" i="6" s="1"/>
  <c r="K371" i="6"/>
  <c r="K31" i="6" s="1"/>
  <c r="K383" i="6"/>
  <c r="K32" i="6" s="1"/>
  <c r="K395" i="6"/>
  <c r="K33" i="6" s="1"/>
  <c r="K407" i="6"/>
  <c r="K34" i="6" s="1"/>
  <c r="K419" i="6"/>
  <c r="K35" i="6" s="1"/>
  <c r="K191" i="6"/>
  <c r="K16" i="6" s="1"/>
  <c r="K335" i="6"/>
  <c r="K28" i="6" s="1"/>
  <c r="O67" i="6"/>
  <c r="O74" i="6" s="1"/>
  <c r="O8" i="6" s="1"/>
  <c r="O155" i="6"/>
  <c r="O13" i="6" s="1"/>
  <c r="O179" i="6"/>
  <c r="O15" i="6" s="1"/>
  <c r="O203" i="6"/>
  <c r="O17" i="6" s="1"/>
  <c r="O215" i="6"/>
  <c r="O18" i="6" s="1"/>
  <c r="O227" i="6"/>
  <c r="O19" i="6" s="1"/>
  <c r="O263" i="6"/>
  <c r="O22" i="6" s="1"/>
  <c r="O191" i="6"/>
  <c r="O16" i="6" s="1"/>
  <c r="O335" i="6"/>
  <c r="O28" i="6" s="1"/>
  <c r="O131" i="6"/>
  <c r="O11" i="6" s="1"/>
  <c r="P191" i="6"/>
  <c r="P16" i="6" s="1"/>
  <c r="P335" i="6"/>
  <c r="P28" i="6" s="1"/>
  <c r="J63" i="7"/>
  <c r="J8" i="7" s="1"/>
  <c r="J108" i="7"/>
  <c r="J10" i="7" s="1"/>
  <c r="J120" i="7"/>
  <c r="J11" i="7" s="1"/>
  <c r="J132" i="7"/>
  <c r="J12" i="7" s="1"/>
  <c r="J144" i="7"/>
  <c r="J13" i="7" s="1"/>
  <c r="J156" i="7"/>
  <c r="J14" i="7" s="1"/>
  <c r="J168" i="7"/>
  <c r="J15" i="7" s="1"/>
  <c r="J180" i="7"/>
  <c r="J16" i="7" s="1"/>
  <c r="J192" i="7"/>
  <c r="J17" i="7" s="1"/>
  <c r="J204" i="7"/>
  <c r="J18" i="7" s="1"/>
  <c r="K63" i="7"/>
  <c r="K8" i="7" s="1"/>
  <c r="K108" i="7"/>
  <c r="K10" i="7" s="1"/>
  <c r="K120" i="7"/>
  <c r="K11" i="7" s="1"/>
  <c r="K132" i="7"/>
  <c r="K12" i="7" s="1"/>
  <c r="K144" i="7"/>
  <c r="K13" i="7" s="1"/>
  <c r="K156" i="7"/>
  <c r="K14" i="7" s="1"/>
  <c r="K168" i="7"/>
  <c r="K15" i="7" s="1"/>
  <c r="K180" i="7"/>
  <c r="K16" i="7" s="1"/>
  <c r="K192" i="7"/>
  <c r="K17" i="7" s="1"/>
  <c r="K204" i="7"/>
  <c r="K18" i="7" s="1"/>
  <c r="O120" i="7"/>
  <c r="O11" i="7" s="1"/>
  <c r="O192" i="7"/>
  <c r="O17" i="7" s="1"/>
  <c r="O204" i="7"/>
  <c r="O18" i="7" s="1"/>
  <c r="J44" i="8"/>
  <c r="J8" i="8" s="1"/>
  <c r="K44" i="8"/>
  <c r="K8" i="8" s="1"/>
  <c r="I48" i="9"/>
  <c r="J48" i="9"/>
  <c r="J56" i="9" s="1"/>
  <c r="J8" i="9" s="1"/>
  <c r="J100" i="9"/>
  <c r="J10" i="9" s="1"/>
  <c r="J112" i="9"/>
  <c r="J11" i="9" s="1"/>
  <c r="J124" i="9"/>
  <c r="J12" i="9" s="1"/>
  <c r="J135" i="9"/>
  <c r="J13" i="9" s="1"/>
  <c r="J146" i="9"/>
  <c r="J14" i="9" s="1"/>
  <c r="K48" i="9"/>
  <c r="K56" i="9" s="1"/>
  <c r="K8" i="9" s="1"/>
  <c r="K100" i="9"/>
  <c r="K10" i="9" s="1"/>
  <c r="K112" i="9"/>
  <c r="K11" i="9" s="1"/>
  <c r="K124" i="9"/>
  <c r="K12" i="9" s="1"/>
  <c r="K135" i="9"/>
  <c r="K13" i="9" s="1"/>
  <c r="K146" i="9"/>
  <c r="K14" i="9" s="1"/>
  <c r="I55" i="10"/>
  <c r="J215" i="10"/>
  <c r="J19" i="10" s="1"/>
  <c r="J55" i="10"/>
  <c r="J62" i="10" s="1"/>
  <c r="J8" i="10" s="1"/>
  <c r="J107" i="10"/>
  <c r="J10" i="10" s="1"/>
  <c r="J119" i="10"/>
  <c r="J11" i="10" s="1"/>
  <c r="J131" i="10"/>
  <c r="J12" i="10" s="1"/>
  <c r="J143" i="10"/>
  <c r="J13" i="10" s="1"/>
  <c r="J155" i="10"/>
  <c r="J14" i="10" s="1"/>
  <c r="J167" i="10"/>
  <c r="J15" i="10" s="1"/>
  <c r="J179" i="10"/>
  <c r="J16" i="10" s="1"/>
  <c r="J191" i="10"/>
  <c r="J17" i="10" s="1"/>
  <c r="J203" i="10"/>
  <c r="J18" i="10" s="1"/>
  <c r="J227" i="10"/>
  <c r="J20" i="10" s="1"/>
  <c r="K215" i="10"/>
  <c r="K19" i="10" s="1"/>
  <c r="K55" i="10"/>
  <c r="K62" i="10" s="1"/>
  <c r="K8" i="10" s="1"/>
  <c r="K107" i="10"/>
  <c r="K10" i="10" s="1"/>
  <c r="K119" i="10"/>
  <c r="K11" i="10" s="1"/>
  <c r="K131" i="10"/>
  <c r="K12" i="10" s="1"/>
  <c r="K143" i="10"/>
  <c r="K13" i="10" s="1"/>
  <c r="K155" i="10"/>
  <c r="K14" i="10" s="1"/>
  <c r="K167" i="10"/>
  <c r="K15" i="10" s="1"/>
  <c r="K179" i="10"/>
  <c r="K16" i="10" s="1"/>
  <c r="K191" i="10"/>
  <c r="K17" i="10" s="1"/>
  <c r="K203" i="10"/>
  <c r="K18" i="10" s="1"/>
  <c r="K227" i="10"/>
  <c r="K20" i="10" s="1"/>
  <c r="I46" i="11"/>
  <c r="J46" i="11"/>
  <c r="J53" i="11" s="1"/>
  <c r="J8" i="11" s="1"/>
  <c r="J84" i="11"/>
  <c r="J100" i="11"/>
  <c r="J10" i="11" s="1"/>
  <c r="J112" i="11"/>
  <c r="J11" i="11" s="1"/>
  <c r="J124" i="11"/>
  <c r="J12" i="11" s="1"/>
  <c r="J136" i="11"/>
  <c r="J13" i="11" s="1"/>
  <c r="K46" i="11"/>
  <c r="K53" i="11" s="1"/>
  <c r="K8" i="11" s="1"/>
  <c r="K84" i="11"/>
  <c r="K100" i="11"/>
  <c r="K10" i="11" s="1"/>
  <c r="K112" i="11"/>
  <c r="K11" i="11" s="1"/>
  <c r="K124" i="11"/>
  <c r="K12" i="11" s="1"/>
  <c r="K136" i="11"/>
  <c r="K13" i="11" s="1"/>
  <c r="O46" i="11"/>
  <c r="O53" i="11" s="1"/>
  <c r="O8" i="11" s="1"/>
  <c r="O84" i="11"/>
  <c r="O100" i="11"/>
  <c r="O10" i="11" s="1"/>
  <c r="O112" i="11"/>
  <c r="O11" i="11" s="1"/>
  <c r="O124" i="11"/>
  <c r="O12" i="11" s="1"/>
  <c r="O136" i="11"/>
  <c r="O13" i="11" s="1"/>
  <c r="G57" i="12"/>
  <c r="I57" i="12"/>
  <c r="J57" i="12"/>
  <c r="J64" i="12" s="1"/>
  <c r="J8" i="12" s="1"/>
  <c r="J109" i="12"/>
  <c r="J10" i="12" s="1"/>
  <c r="J121" i="12"/>
  <c r="J11" i="12" s="1"/>
  <c r="J133" i="12"/>
  <c r="J12" i="12" s="1"/>
  <c r="J145" i="12"/>
  <c r="J13" i="12" s="1"/>
  <c r="J157" i="12"/>
  <c r="J14" i="12" s="1"/>
  <c r="J169" i="12"/>
  <c r="J15" i="12" s="1"/>
  <c r="J181" i="12"/>
  <c r="J16" i="12" s="1"/>
  <c r="J193" i="12"/>
  <c r="J17" i="12" s="1"/>
  <c r="J205" i="12"/>
  <c r="J18" i="12" s="1"/>
  <c r="J217" i="12"/>
  <c r="J19" i="12" s="1"/>
  <c r="J229" i="12"/>
  <c r="J20" i="12" s="1"/>
  <c r="K57" i="12"/>
  <c r="K64" i="12" s="1"/>
  <c r="K8" i="12" s="1"/>
  <c r="K109" i="12"/>
  <c r="K10" i="12" s="1"/>
  <c r="K121" i="12"/>
  <c r="K11" i="12" s="1"/>
  <c r="K133" i="12"/>
  <c r="K12" i="12" s="1"/>
  <c r="K145" i="12"/>
  <c r="K13" i="12" s="1"/>
  <c r="K157" i="12"/>
  <c r="K14" i="12" s="1"/>
  <c r="K169" i="12"/>
  <c r="K15" i="12" s="1"/>
  <c r="K181" i="12"/>
  <c r="K16" i="12" s="1"/>
  <c r="K193" i="12"/>
  <c r="K17" i="12" s="1"/>
  <c r="K205" i="12"/>
  <c r="K18" i="12" s="1"/>
  <c r="K217" i="12"/>
  <c r="K19" i="12" s="1"/>
  <c r="K229" i="12"/>
  <c r="K20" i="12" s="1"/>
  <c r="I52" i="13"/>
  <c r="J52" i="13"/>
  <c r="J59" i="13" s="1"/>
  <c r="J8" i="13" s="1"/>
  <c r="J104" i="13"/>
  <c r="J10" i="13" s="1"/>
  <c r="J116" i="13"/>
  <c r="J11" i="13" s="1"/>
  <c r="J128" i="13"/>
  <c r="J12" i="13" s="1"/>
  <c r="J140" i="13"/>
  <c r="J13" i="13" s="1"/>
  <c r="J152" i="13"/>
  <c r="J14" i="13" s="1"/>
  <c r="J164" i="13"/>
  <c r="J15" i="13" s="1"/>
  <c r="J176" i="13"/>
  <c r="J16" i="13" s="1"/>
  <c r="J188" i="13"/>
  <c r="J17" i="13" s="1"/>
  <c r="J200" i="13"/>
  <c r="J18" i="13" s="1"/>
  <c r="J212" i="13"/>
  <c r="J19" i="13" s="1"/>
  <c r="J224" i="13"/>
  <c r="J20" i="13" s="1"/>
  <c r="J236" i="13"/>
  <c r="J21" i="13" s="1"/>
  <c r="J248" i="13"/>
  <c r="J22" i="13" s="1"/>
  <c r="J260" i="13"/>
  <c r="J23" i="13" s="1"/>
  <c r="K52" i="13"/>
  <c r="K59" i="13" s="1"/>
  <c r="K8" i="13" s="1"/>
  <c r="K104" i="13"/>
  <c r="K10" i="13" s="1"/>
  <c r="K116" i="13"/>
  <c r="K11" i="13" s="1"/>
  <c r="K128" i="13"/>
  <c r="K12" i="13" s="1"/>
  <c r="K140" i="13"/>
  <c r="K13" i="13" s="1"/>
  <c r="K152" i="13"/>
  <c r="K14" i="13" s="1"/>
  <c r="K164" i="13"/>
  <c r="K15" i="13" s="1"/>
  <c r="K176" i="13"/>
  <c r="K16" i="13" s="1"/>
  <c r="K188" i="13"/>
  <c r="K17" i="13" s="1"/>
  <c r="K200" i="13"/>
  <c r="K18" i="13" s="1"/>
  <c r="K212" i="13"/>
  <c r="K19" i="13" s="1"/>
  <c r="K224" i="13"/>
  <c r="K20" i="13" s="1"/>
  <c r="K236" i="13"/>
  <c r="K21" i="13" s="1"/>
  <c r="K248" i="13"/>
  <c r="K22" i="13" s="1"/>
  <c r="K260" i="13"/>
  <c r="K23" i="13" s="1"/>
  <c r="I37" i="14"/>
  <c r="J37" i="14"/>
  <c r="J44" i="14" s="1"/>
  <c r="J8" i="14" s="1"/>
  <c r="J89" i="14"/>
  <c r="J10" i="14" s="1"/>
  <c r="K37" i="14"/>
  <c r="K44" i="14" s="1"/>
  <c r="K8" i="14" s="1"/>
  <c r="K89" i="14"/>
  <c r="K10" i="14" s="1"/>
  <c r="J65" i="15"/>
  <c r="J8" i="15" s="1"/>
  <c r="J110" i="15"/>
  <c r="J10" i="15" s="1"/>
  <c r="J134" i="15"/>
  <c r="J12" i="15" s="1"/>
  <c r="J122" i="15"/>
  <c r="J11" i="15" s="1"/>
  <c r="J146" i="15"/>
  <c r="J13" i="15" s="1"/>
  <c r="J158" i="15"/>
  <c r="J14" i="15" s="1"/>
  <c r="J170" i="15"/>
  <c r="J15" i="15" s="1"/>
  <c r="J182" i="15"/>
  <c r="J16" i="15" s="1"/>
  <c r="J194" i="15"/>
  <c r="J17" i="15" s="1"/>
  <c r="J206" i="15"/>
  <c r="J18" i="15" s="1"/>
  <c r="J230" i="15"/>
  <c r="J20" i="15" s="1"/>
  <c r="J242" i="15"/>
  <c r="J21" i="15" s="1"/>
  <c r="J254" i="15"/>
  <c r="J22" i="15" s="1"/>
  <c r="J266" i="15"/>
  <c r="J23" i="15" s="1"/>
  <c r="J218" i="15"/>
  <c r="J19" i="15" s="1"/>
  <c r="K65" i="15"/>
  <c r="K8" i="15" s="1"/>
  <c r="K110" i="15"/>
  <c r="K10" i="15" s="1"/>
  <c r="K134" i="15"/>
  <c r="K12" i="15" s="1"/>
  <c r="K122" i="15"/>
  <c r="K11" i="15" s="1"/>
  <c r="K146" i="15"/>
  <c r="K13" i="15" s="1"/>
  <c r="K158" i="15"/>
  <c r="K14" i="15" s="1"/>
  <c r="K170" i="15"/>
  <c r="K15" i="15" s="1"/>
  <c r="K182" i="15"/>
  <c r="K16" i="15" s="1"/>
  <c r="K194" i="15"/>
  <c r="K17" i="15" s="1"/>
  <c r="K206" i="15"/>
  <c r="K18" i="15" s="1"/>
  <c r="K230" i="15"/>
  <c r="K20" i="15" s="1"/>
  <c r="K242" i="15"/>
  <c r="K21" i="15" s="1"/>
  <c r="K254" i="15"/>
  <c r="K22" i="15" s="1"/>
  <c r="K266" i="15"/>
  <c r="K23" i="15" s="1"/>
  <c r="K218" i="15"/>
  <c r="K19" i="15" s="1"/>
  <c r="O218" i="15"/>
  <c r="O19" i="15" s="1"/>
  <c r="I44" i="16"/>
  <c r="J44" i="16"/>
  <c r="J51" i="16" s="1"/>
  <c r="J8" i="16" s="1"/>
  <c r="J96" i="16"/>
  <c r="J10" i="16" s="1"/>
  <c r="J108" i="16"/>
  <c r="J11" i="16" s="1"/>
  <c r="J120" i="16"/>
  <c r="J12" i="16" s="1"/>
  <c r="K44" i="16"/>
  <c r="K51" i="16" s="1"/>
  <c r="K8" i="16" s="1"/>
  <c r="K96" i="16"/>
  <c r="K10" i="16" s="1"/>
  <c r="K108" i="16"/>
  <c r="K11" i="16" s="1"/>
  <c r="K120" i="16"/>
  <c r="K12" i="16" s="1"/>
  <c r="I39" i="17"/>
  <c r="J39" i="17"/>
  <c r="J46" i="17" s="1"/>
  <c r="J8" i="17" s="1"/>
  <c r="K39" i="17"/>
  <c r="K46" i="17" s="1"/>
  <c r="K8" i="17" s="1"/>
  <c r="J66" i="18"/>
  <c r="J8" i="18" s="1"/>
  <c r="J111" i="18"/>
  <c r="J10" i="18" s="1"/>
  <c r="J123" i="18"/>
  <c r="J11" i="18" s="1"/>
  <c r="J135" i="18"/>
  <c r="J12" i="18" s="1"/>
  <c r="J159" i="18"/>
  <c r="J14" i="18" s="1"/>
  <c r="J171" i="18"/>
  <c r="J15" i="18" s="1"/>
  <c r="J207" i="18"/>
  <c r="J18" i="18" s="1"/>
  <c r="J243" i="18"/>
  <c r="J21" i="18" s="1"/>
  <c r="J255" i="18"/>
  <c r="J22" i="18" s="1"/>
  <c r="J267" i="18"/>
  <c r="J23" i="18" s="1"/>
  <c r="J279" i="18"/>
  <c r="J24" i="18" s="1"/>
  <c r="J147" i="18"/>
  <c r="J13" i="18" s="1"/>
  <c r="J16" i="18"/>
  <c r="J195" i="18"/>
  <c r="J17" i="18" s="1"/>
  <c r="J219" i="18"/>
  <c r="J19" i="18" s="1"/>
  <c r="J231" i="18"/>
  <c r="J20" i="18" s="1"/>
  <c r="K66" i="18"/>
  <c r="K8" i="18" s="1"/>
  <c r="K111" i="18"/>
  <c r="K10" i="18" s="1"/>
  <c r="K123" i="18"/>
  <c r="K11" i="18" s="1"/>
  <c r="K135" i="18"/>
  <c r="K12" i="18" s="1"/>
  <c r="K159" i="18"/>
  <c r="K14" i="18" s="1"/>
  <c r="K171" i="18"/>
  <c r="K15" i="18" s="1"/>
  <c r="K207" i="18"/>
  <c r="K18" i="18" s="1"/>
  <c r="K243" i="18"/>
  <c r="K21" i="18" s="1"/>
  <c r="K255" i="18"/>
  <c r="K22" i="18" s="1"/>
  <c r="K267" i="18"/>
  <c r="K23" i="18" s="1"/>
  <c r="K279" i="18"/>
  <c r="K24" i="18" s="1"/>
  <c r="K147" i="18"/>
  <c r="K13" i="18" s="1"/>
  <c r="K183" i="18"/>
  <c r="K16" i="18" s="1"/>
  <c r="K195" i="18"/>
  <c r="K17" i="18" s="1"/>
  <c r="K219" i="18"/>
  <c r="K19" i="18" s="1"/>
  <c r="K231" i="18"/>
  <c r="K20" i="18" s="1"/>
  <c r="O66" i="18"/>
  <c r="O8" i="18" s="1"/>
  <c r="O111" i="18"/>
  <c r="O10" i="18" s="1"/>
  <c r="O123" i="18"/>
  <c r="O11" i="18" s="1"/>
  <c r="O267" i="18"/>
  <c r="O23" i="18" s="1"/>
  <c r="O147" i="18"/>
  <c r="O13" i="18" s="1"/>
  <c r="P147" i="18"/>
  <c r="P13" i="18" s="1"/>
  <c r="G41" i="19"/>
  <c r="I41" i="19"/>
  <c r="J41" i="19"/>
  <c r="J48" i="19" s="1"/>
  <c r="J8" i="19" s="1"/>
  <c r="J93" i="19"/>
  <c r="J10" i="19" s="1"/>
  <c r="K41" i="19"/>
  <c r="K48" i="19" s="1"/>
  <c r="K8" i="19" s="1"/>
  <c r="K93" i="19"/>
  <c r="K10" i="19" s="1"/>
  <c r="O41" i="19"/>
  <c r="O48" i="19" s="1"/>
  <c r="O8" i="19" s="1"/>
  <c r="O93" i="19"/>
  <c r="O10" i="19" s="1"/>
  <c r="D41" i="19"/>
  <c r="D48" i="19" s="1"/>
  <c r="D8" i="19" s="1"/>
  <c r="F41" i="19"/>
  <c r="B93" i="19"/>
  <c r="B10" i="19" s="1"/>
  <c r="D93" i="19"/>
  <c r="D10" i="19" s="1"/>
  <c r="B24" i="19"/>
  <c r="B7" i="19" s="1"/>
  <c r="C24" i="19"/>
  <c r="C7" i="19" s="1"/>
  <c r="P24" i="19"/>
  <c r="C41" i="19"/>
  <c r="C48" i="19" s="1"/>
  <c r="C8" i="19" s="1"/>
  <c r="P41" i="19"/>
  <c r="P48" i="19" s="1"/>
  <c r="P8" i="19" s="1"/>
  <c r="F52" i="19"/>
  <c r="B61" i="19"/>
  <c r="B62" i="19"/>
  <c r="I62" i="19"/>
  <c r="B64" i="19"/>
  <c r="B65" i="19"/>
  <c r="B67" i="19"/>
  <c r="B22" i="22" s="1"/>
  <c r="C67" i="19"/>
  <c r="C22" i="22" s="1"/>
  <c r="I69" i="19"/>
  <c r="O69" i="19"/>
  <c r="I70" i="19"/>
  <c r="K70" i="19"/>
  <c r="O70" i="19"/>
  <c r="B73" i="19"/>
  <c r="B74" i="19"/>
  <c r="I74" i="19"/>
  <c r="B77" i="19"/>
  <c r="B79" i="19"/>
  <c r="B48" i="22" s="1"/>
  <c r="C79" i="19"/>
  <c r="C48" i="22" s="1"/>
  <c r="O79" i="19"/>
  <c r="N48" i="22" s="1"/>
  <c r="I88" i="19"/>
  <c r="B90" i="19"/>
  <c r="B91" i="19"/>
  <c r="C93" i="19"/>
  <c r="C10" i="19" s="1"/>
  <c r="P93" i="19"/>
  <c r="P10" i="19" s="1"/>
  <c r="B66" i="18"/>
  <c r="B8" i="18" s="1"/>
  <c r="D66" i="18"/>
  <c r="D8" i="18" s="1"/>
  <c r="B111" i="18"/>
  <c r="B10" i="18" s="1"/>
  <c r="D111" i="18"/>
  <c r="D10" i="18" s="1"/>
  <c r="B123" i="18"/>
  <c r="B11" i="18" s="1"/>
  <c r="D123" i="18"/>
  <c r="D11" i="18" s="1"/>
  <c r="B135" i="18"/>
  <c r="B12" i="18" s="1"/>
  <c r="D135" i="18"/>
  <c r="D12" i="18" s="1"/>
  <c r="B147" i="18"/>
  <c r="C147" i="18"/>
  <c r="C13" i="18" s="1"/>
  <c r="D147" i="18"/>
  <c r="D13" i="18" s="1"/>
  <c r="F147" i="18"/>
  <c r="F13" i="18" s="1"/>
  <c r="B159" i="18"/>
  <c r="B14" i="18" s="1"/>
  <c r="D159" i="18"/>
  <c r="D14" i="18" s="1"/>
  <c r="B171" i="18"/>
  <c r="B15" i="18" s="1"/>
  <c r="D171" i="18"/>
  <c r="D15" i="18" s="1"/>
  <c r="D183" i="18"/>
  <c r="D16" i="18" s="1"/>
  <c r="D195" i="18"/>
  <c r="D17" i="18" s="1"/>
  <c r="F195" i="18"/>
  <c r="F17" i="18" s="1"/>
  <c r="B207" i="18"/>
  <c r="B18" i="18" s="1"/>
  <c r="D207" i="18"/>
  <c r="D18" i="18" s="1"/>
  <c r="D219" i="18"/>
  <c r="D231" i="18"/>
  <c r="D20" i="18" s="1"/>
  <c r="F231" i="18"/>
  <c r="B243" i="18"/>
  <c r="B21" i="18" s="1"/>
  <c r="D243" i="18"/>
  <c r="D21" i="18" s="1"/>
  <c r="B255" i="18"/>
  <c r="B22" i="18" s="1"/>
  <c r="D255" i="18"/>
  <c r="D22" i="18" s="1"/>
  <c r="B267" i="18"/>
  <c r="B23" i="18" s="1"/>
  <c r="D267" i="18"/>
  <c r="D23" i="18" s="1"/>
  <c r="B279" i="18"/>
  <c r="B24" i="18" s="1"/>
  <c r="D279" i="18"/>
  <c r="D24" i="18" s="1"/>
  <c r="G29" i="18"/>
  <c r="B32" i="18"/>
  <c r="B33" i="18"/>
  <c r="H33" i="18" s="1"/>
  <c r="B36" i="18"/>
  <c r="B38" i="18"/>
  <c r="C38" i="18"/>
  <c r="C7" i="18" s="1"/>
  <c r="L44" i="18"/>
  <c r="L45" i="18"/>
  <c r="N45" i="18" s="1"/>
  <c r="Q45" i="18" s="1"/>
  <c r="L46" i="18"/>
  <c r="N46" i="18" s="1"/>
  <c r="Q46" i="18" s="1"/>
  <c r="L47" i="18"/>
  <c r="N47" i="18" s="1"/>
  <c r="Q47" i="18" s="1"/>
  <c r="L48" i="18"/>
  <c r="N48" i="18" s="1"/>
  <c r="Q48" i="18" s="1"/>
  <c r="L50" i="18"/>
  <c r="N50" i="18" s="1"/>
  <c r="Q50" i="18" s="1"/>
  <c r="L51" i="18"/>
  <c r="N51" i="18" s="1"/>
  <c r="Q51" i="18" s="1"/>
  <c r="Q52" i="18"/>
  <c r="Q53" i="18"/>
  <c r="L55" i="18"/>
  <c r="N55" i="18" s="1"/>
  <c r="Q55" i="18" s="1"/>
  <c r="L56" i="18"/>
  <c r="N56" i="18" s="1"/>
  <c r="Q56" i="18" s="1"/>
  <c r="C59" i="18"/>
  <c r="C60" i="18" s="1"/>
  <c r="B64" i="18"/>
  <c r="J77" i="18"/>
  <c r="B79" i="18"/>
  <c r="C79" i="18"/>
  <c r="B80" i="18"/>
  <c r="C80" i="18"/>
  <c r="I80" i="18" s="1"/>
  <c r="B82" i="18"/>
  <c r="C82" i="18"/>
  <c r="B83" i="18"/>
  <c r="C83" i="18"/>
  <c r="B85" i="18"/>
  <c r="C85" i="18"/>
  <c r="C21" i="22" s="1"/>
  <c r="P85" i="18"/>
  <c r="O21" i="22" s="1"/>
  <c r="I88" i="18"/>
  <c r="P88" i="18"/>
  <c r="I89" i="18"/>
  <c r="K89" i="18"/>
  <c r="P89" i="18"/>
  <c r="U90" i="18"/>
  <c r="B91" i="18"/>
  <c r="C91" i="18"/>
  <c r="B92" i="18"/>
  <c r="C92" i="18"/>
  <c r="I92" i="18" s="1"/>
  <c r="B95" i="18"/>
  <c r="C95" i="18"/>
  <c r="B97" i="18"/>
  <c r="B47" i="22" s="1"/>
  <c r="C97" i="18"/>
  <c r="P97" i="18"/>
  <c r="O47" i="22" s="1"/>
  <c r="J103" i="18"/>
  <c r="C105" i="18"/>
  <c r="C106" i="18"/>
  <c r="I106" i="18" s="1"/>
  <c r="B108" i="18"/>
  <c r="C108" i="18"/>
  <c r="B109" i="18"/>
  <c r="C109" i="18"/>
  <c r="C111" i="18"/>
  <c r="C10" i="18" s="1"/>
  <c r="J115" i="18"/>
  <c r="C117" i="18"/>
  <c r="C118" i="18"/>
  <c r="I118" i="18" s="1"/>
  <c r="B120" i="18"/>
  <c r="C120" i="18"/>
  <c r="B121" i="18"/>
  <c r="C121" i="18"/>
  <c r="C123" i="18"/>
  <c r="C11" i="18" s="1"/>
  <c r="P123" i="18"/>
  <c r="P11" i="18" s="1"/>
  <c r="J127" i="18"/>
  <c r="C129" i="18"/>
  <c r="C130" i="18"/>
  <c r="I130" i="18" s="1"/>
  <c r="B132" i="18"/>
  <c r="C132" i="18"/>
  <c r="B133" i="18"/>
  <c r="C133" i="18"/>
  <c r="C135" i="18"/>
  <c r="C12" i="18" s="1"/>
  <c r="O135" i="18"/>
  <c r="O12" i="18" s="1"/>
  <c r="P135" i="18"/>
  <c r="P12" i="18" s="1"/>
  <c r="B144" i="18"/>
  <c r="C144" i="18"/>
  <c r="B145" i="18"/>
  <c r="C145" i="18"/>
  <c r="C153" i="18"/>
  <c r="C154" i="18"/>
  <c r="B156" i="18"/>
  <c r="C156" i="18"/>
  <c r="B157" i="18"/>
  <c r="C157" i="18"/>
  <c r="C159" i="18"/>
  <c r="C14" i="18" s="1"/>
  <c r="O159" i="18"/>
  <c r="O14" i="18" s="1"/>
  <c r="P159" i="18"/>
  <c r="P14" i="18" s="1"/>
  <c r="J163" i="18"/>
  <c r="E164" i="18"/>
  <c r="C165" i="18"/>
  <c r="C166" i="18"/>
  <c r="I166" i="18" s="1"/>
  <c r="B168" i="18"/>
  <c r="C168" i="18"/>
  <c r="B169" i="18"/>
  <c r="C169" i="18"/>
  <c r="C171" i="18"/>
  <c r="C15" i="18" s="1"/>
  <c r="O171" i="18"/>
  <c r="O15" i="18" s="1"/>
  <c r="P171" i="18"/>
  <c r="P15" i="18" s="1"/>
  <c r="C177" i="18"/>
  <c r="C178" i="18"/>
  <c r="B180" i="18"/>
  <c r="C180" i="18"/>
  <c r="B181" i="18"/>
  <c r="C181" i="18"/>
  <c r="B183" i="18"/>
  <c r="B16" i="18" s="1"/>
  <c r="C183" i="18"/>
  <c r="C16" i="18" s="1"/>
  <c r="O183" i="18"/>
  <c r="O16" i="18" s="1"/>
  <c r="P183" i="18"/>
  <c r="P16" i="18" s="1"/>
  <c r="C189" i="18"/>
  <c r="I189" i="18" s="1"/>
  <c r="C190" i="18"/>
  <c r="H190" i="18" s="1"/>
  <c r="B192" i="18"/>
  <c r="C192" i="18"/>
  <c r="B193" i="18"/>
  <c r="C193" i="18"/>
  <c r="B195" i="18"/>
  <c r="B17" i="18" s="1"/>
  <c r="C195" i="18"/>
  <c r="C17" i="18" s="1"/>
  <c r="O195" i="18"/>
  <c r="O17" i="18" s="1"/>
  <c r="P195" i="18"/>
  <c r="P17" i="18" s="1"/>
  <c r="J199" i="18"/>
  <c r="C201" i="18"/>
  <c r="C202" i="18"/>
  <c r="I202" i="18" s="1"/>
  <c r="B204" i="18"/>
  <c r="C204" i="18"/>
  <c r="B205" i="18"/>
  <c r="C205" i="18"/>
  <c r="C207" i="18"/>
  <c r="C18" i="18" s="1"/>
  <c r="O207" i="18"/>
  <c r="O18" i="18" s="1"/>
  <c r="P207" i="18"/>
  <c r="P18" i="18" s="1"/>
  <c r="C213" i="18"/>
  <c r="I213" i="18" s="1"/>
  <c r="C214" i="18"/>
  <c r="H214" i="18" s="1"/>
  <c r="H219" i="18" s="1"/>
  <c r="H19" i="18" s="1"/>
  <c r="B216" i="18"/>
  <c r="C216" i="18"/>
  <c r="B217" i="18"/>
  <c r="C217" i="18"/>
  <c r="B219" i="18"/>
  <c r="C219" i="18"/>
  <c r="O219" i="18"/>
  <c r="O19" i="18" s="1"/>
  <c r="P219" i="18"/>
  <c r="P19" i="18" s="1"/>
  <c r="C225" i="18"/>
  <c r="G225" i="18" s="1"/>
  <c r="G231" i="18" s="1"/>
  <c r="G20" i="18" s="1"/>
  <c r="U225" i="18"/>
  <c r="C226" i="18"/>
  <c r="H226" i="18" s="1"/>
  <c r="B228" i="18"/>
  <c r="C228" i="18"/>
  <c r="B229" i="18"/>
  <c r="C229" i="18"/>
  <c r="B231" i="18"/>
  <c r="B20" i="18" s="1"/>
  <c r="C231" i="18"/>
  <c r="C20" i="18" s="1"/>
  <c r="O231" i="18"/>
  <c r="O20" i="18" s="1"/>
  <c r="P231" i="18"/>
  <c r="P20" i="18" s="1"/>
  <c r="J235" i="18"/>
  <c r="C237" i="18"/>
  <c r="C238" i="18"/>
  <c r="I238" i="18" s="1"/>
  <c r="B240" i="18"/>
  <c r="C240" i="18"/>
  <c r="B241" i="18"/>
  <c r="C241" i="18"/>
  <c r="C243" i="18"/>
  <c r="C21" i="18" s="1"/>
  <c r="O243" i="18"/>
  <c r="O21" i="18" s="1"/>
  <c r="P243" i="18"/>
  <c r="P21" i="18" s="1"/>
  <c r="J247" i="18"/>
  <c r="C249" i="18"/>
  <c r="C250" i="18"/>
  <c r="B252" i="18"/>
  <c r="C252" i="18"/>
  <c r="B253" i="18"/>
  <c r="C253" i="18"/>
  <c r="C255" i="18"/>
  <c r="C22" i="18" s="1"/>
  <c r="O255" i="18"/>
  <c r="O22" i="18" s="1"/>
  <c r="P255" i="18"/>
  <c r="P22" i="18" s="1"/>
  <c r="J259" i="18"/>
  <c r="C261" i="18"/>
  <c r="I261" i="18" s="1"/>
  <c r="C262" i="18"/>
  <c r="I262" i="18" s="1"/>
  <c r="B264" i="18"/>
  <c r="C264" i="18"/>
  <c r="B265" i="18"/>
  <c r="C265" i="18"/>
  <c r="C267" i="18"/>
  <c r="C23" i="18" s="1"/>
  <c r="J271" i="18"/>
  <c r="C273" i="18"/>
  <c r="C274" i="18"/>
  <c r="I274" i="18" s="1"/>
  <c r="B276" i="18"/>
  <c r="C276" i="18"/>
  <c r="B277" i="18"/>
  <c r="C277" i="18"/>
  <c r="C279" i="18"/>
  <c r="C24" i="18" s="1"/>
  <c r="O279" i="18"/>
  <c r="O24" i="18" s="1"/>
  <c r="P279" i="18"/>
  <c r="P24" i="18" s="1"/>
  <c r="D305" i="18"/>
  <c r="D39" i="17"/>
  <c r="D46" i="17" s="1"/>
  <c r="D8" i="17" s="1"/>
  <c r="F39" i="17"/>
  <c r="B18" i="17"/>
  <c r="B19" i="17"/>
  <c r="H19" i="17" s="1"/>
  <c r="B21" i="17"/>
  <c r="B22" i="17"/>
  <c r="B24" i="17"/>
  <c r="B7" i="17" s="1"/>
  <c r="C24" i="17"/>
  <c r="C7" i="17" s="1"/>
  <c r="O24" i="17"/>
  <c r="N33" i="21" s="1"/>
  <c r="P24" i="17"/>
  <c r="C39" i="17"/>
  <c r="C46" i="17" s="1"/>
  <c r="C8" i="17" s="1"/>
  <c r="O39" i="17"/>
  <c r="O46" i="17" s="1"/>
  <c r="O8" i="17" s="1"/>
  <c r="F50" i="17"/>
  <c r="B59" i="17"/>
  <c r="C59" i="17"/>
  <c r="B60" i="17"/>
  <c r="C60" i="17"/>
  <c r="I60" i="17" s="1"/>
  <c r="B62" i="17"/>
  <c r="C62" i="17"/>
  <c r="B63" i="17"/>
  <c r="C63" i="17"/>
  <c r="B65" i="17"/>
  <c r="B20" i="22" s="1"/>
  <c r="C65" i="17"/>
  <c r="C20" i="22" s="1"/>
  <c r="O65" i="17"/>
  <c r="I67" i="17"/>
  <c r="O67" i="17"/>
  <c r="P67" i="17"/>
  <c r="I68" i="17"/>
  <c r="J68" i="17"/>
  <c r="K68" i="17"/>
  <c r="O68" i="17"/>
  <c r="P68" i="17"/>
  <c r="B71" i="17"/>
  <c r="C71" i="17"/>
  <c r="B72" i="17"/>
  <c r="C72" i="17"/>
  <c r="I72" i="17" s="1"/>
  <c r="B75" i="17"/>
  <c r="C75" i="17"/>
  <c r="B77" i="17"/>
  <c r="B46" i="22" s="1"/>
  <c r="C77" i="17"/>
  <c r="O77" i="17"/>
  <c r="N46" i="22" s="1"/>
  <c r="D44" i="16"/>
  <c r="D51" i="16" s="1"/>
  <c r="D8" i="16" s="1"/>
  <c r="F44" i="16"/>
  <c r="B96" i="16"/>
  <c r="B10" i="16" s="1"/>
  <c r="D96" i="16"/>
  <c r="D10" i="16" s="1"/>
  <c r="F96" i="16"/>
  <c r="F10" i="16" s="1"/>
  <c r="B108" i="16"/>
  <c r="B11" i="16" s="1"/>
  <c r="D108" i="16"/>
  <c r="D11" i="16" s="1"/>
  <c r="B120" i="16"/>
  <c r="B12" i="16" s="1"/>
  <c r="D120" i="16"/>
  <c r="D12" i="16" s="1"/>
  <c r="H26" i="16"/>
  <c r="G32" i="21" s="1"/>
  <c r="B26" i="16"/>
  <c r="B7" i="16" s="1"/>
  <c r="C26" i="16"/>
  <c r="C7" i="16" s="1"/>
  <c r="O26" i="16"/>
  <c r="N32" i="21" s="1"/>
  <c r="P26" i="16"/>
  <c r="O32" i="21" s="1"/>
  <c r="O44" i="16"/>
  <c r="O51" i="16" s="1"/>
  <c r="O8" i="16" s="1"/>
  <c r="P44" i="16"/>
  <c r="P51" i="16" s="1"/>
  <c r="P8" i="16" s="1"/>
  <c r="C45" i="16"/>
  <c r="C46" i="16"/>
  <c r="I46" i="16" s="1"/>
  <c r="C48" i="16"/>
  <c r="C49" i="16"/>
  <c r="C51" i="16"/>
  <c r="C8" i="16" s="1"/>
  <c r="B64" i="16"/>
  <c r="C64" i="16"/>
  <c r="B65" i="16"/>
  <c r="C65" i="16"/>
  <c r="I65" i="16" s="1"/>
  <c r="B67" i="16"/>
  <c r="C67" i="16"/>
  <c r="B68" i="16"/>
  <c r="C68" i="16"/>
  <c r="B70" i="16"/>
  <c r="C70" i="16"/>
  <c r="O70" i="16"/>
  <c r="N19" i="22" s="1"/>
  <c r="I72" i="16"/>
  <c r="O72" i="16"/>
  <c r="I73" i="16"/>
  <c r="K73" i="16"/>
  <c r="O73" i="16"/>
  <c r="P73" i="16"/>
  <c r="B76" i="16"/>
  <c r="C76" i="16"/>
  <c r="B77" i="16"/>
  <c r="C77" i="16"/>
  <c r="I77" i="16" s="1"/>
  <c r="B80" i="16"/>
  <c r="C80" i="16"/>
  <c r="B82" i="16"/>
  <c r="B45" i="22" s="1"/>
  <c r="B72" i="22" s="1"/>
  <c r="C82" i="16"/>
  <c r="C45" i="22" s="1"/>
  <c r="C72" i="22" s="1"/>
  <c r="O82" i="16"/>
  <c r="N45" i="22" s="1"/>
  <c r="C90" i="16"/>
  <c r="C91" i="16"/>
  <c r="I91" i="16" s="1"/>
  <c r="B93" i="16"/>
  <c r="C93" i="16"/>
  <c r="B94" i="16"/>
  <c r="C94" i="16"/>
  <c r="C96" i="16"/>
  <c r="C10" i="16" s="1"/>
  <c r="O96" i="16"/>
  <c r="O10" i="16" s="1"/>
  <c r="P96" i="16"/>
  <c r="P10" i="16" s="1"/>
  <c r="C102" i="16"/>
  <c r="C103" i="16"/>
  <c r="I103" i="16" s="1"/>
  <c r="B105" i="16"/>
  <c r="C105" i="16"/>
  <c r="B106" i="16"/>
  <c r="C106" i="16"/>
  <c r="C108" i="16"/>
  <c r="C11" i="16" s="1"/>
  <c r="O108" i="16"/>
  <c r="O11" i="16" s="1"/>
  <c r="P108" i="16"/>
  <c r="P11" i="16" s="1"/>
  <c r="C114" i="16"/>
  <c r="C115" i="16"/>
  <c r="I115" i="16" s="1"/>
  <c r="B117" i="16"/>
  <c r="C117" i="16"/>
  <c r="B118" i="16"/>
  <c r="C118" i="16"/>
  <c r="C120" i="16"/>
  <c r="C12" i="16" s="1"/>
  <c r="O120" i="16"/>
  <c r="O12" i="16" s="1"/>
  <c r="P120" i="16"/>
  <c r="P12" i="16" s="1"/>
  <c r="D58" i="15"/>
  <c r="D65" i="15" s="1"/>
  <c r="D8" i="15" s="1"/>
  <c r="F58" i="15"/>
  <c r="B110" i="15"/>
  <c r="B10" i="15" s="1"/>
  <c r="D110" i="15"/>
  <c r="D10" i="15" s="1"/>
  <c r="B122" i="15"/>
  <c r="B11" i="15" s="1"/>
  <c r="D122" i="15"/>
  <c r="D11" i="15" s="1"/>
  <c r="B134" i="15"/>
  <c r="B12" i="15" s="1"/>
  <c r="D134" i="15"/>
  <c r="D12" i="15" s="1"/>
  <c r="B146" i="15"/>
  <c r="B13" i="15" s="1"/>
  <c r="D146" i="15"/>
  <c r="D13" i="15" s="1"/>
  <c r="B158" i="15"/>
  <c r="B14" i="15" s="1"/>
  <c r="D158" i="15"/>
  <c r="D14" i="15" s="1"/>
  <c r="B170" i="15"/>
  <c r="B15" i="15" s="1"/>
  <c r="D170" i="15"/>
  <c r="D15" i="15" s="1"/>
  <c r="B182" i="15"/>
  <c r="B16" i="15" s="1"/>
  <c r="D182" i="15"/>
  <c r="D16" i="15" s="1"/>
  <c r="B194" i="15"/>
  <c r="B17" i="15" s="1"/>
  <c r="D194" i="15"/>
  <c r="D17" i="15" s="1"/>
  <c r="B206" i="15"/>
  <c r="B18" i="15" s="1"/>
  <c r="D206" i="15"/>
  <c r="D18" i="15" s="1"/>
  <c r="B218" i="15"/>
  <c r="C218" i="15"/>
  <c r="C19" i="15" s="1"/>
  <c r="D218" i="15"/>
  <c r="D19" i="15" s="1"/>
  <c r="B230" i="15"/>
  <c r="B20" i="15" s="1"/>
  <c r="D230" i="15"/>
  <c r="D20" i="15" s="1"/>
  <c r="B242" i="15"/>
  <c r="B21" i="15" s="1"/>
  <c r="D242" i="15"/>
  <c r="D21" i="15" s="1"/>
  <c r="B254" i="15"/>
  <c r="B22" i="15" s="1"/>
  <c r="D254" i="15"/>
  <c r="D22" i="15" s="1"/>
  <c r="B266" i="15"/>
  <c r="B23" i="15" s="1"/>
  <c r="D266" i="15"/>
  <c r="D23" i="15" s="1"/>
  <c r="B37" i="15"/>
  <c r="B7" i="15" s="1"/>
  <c r="C37" i="15"/>
  <c r="C7" i="15" s="1"/>
  <c r="O37" i="15"/>
  <c r="N31" i="21" s="1"/>
  <c r="P37" i="15"/>
  <c r="P7" i="15" s="1"/>
  <c r="O65" i="15"/>
  <c r="O8" i="15" s="1"/>
  <c r="P65" i="15"/>
  <c r="P8" i="15" s="1"/>
  <c r="F69" i="15"/>
  <c r="H68" i="15" s="1"/>
  <c r="B78" i="15"/>
  <c r="C78" i="15"/>
  <c r="I78" i="15" s="1"/>
  <c r="B79" i="15"/>
  <c r="C79" i="15"/>
  <c r="I79" i="15" s="1"/>
  <c r="B81" i="15"/>
  <c r="C81" i="15"/>
  <c r="B82" i="15"/>
  <c r="C82" i="15"/>
  <c r="B84" i="15"/>
  <c r="B18" i="22" s="1"/>
  <c r="C84" i="15"/>
  <c r="O84" i="15"/>
  <c r="N18" i="22" s="1"/>
  <c r="I86" i="15"/>
  <c r="O86" i="15"/>
  <c r="I87" i="15"/>
  <c r="O87" i="15"/>
  <c r="B90" i="15"/>
  <c r="C90" i="15"/>
  <c r="B91" i="15"/>
  <c r="C91" i="15"/>
  <c r="B94" i="15"/>
  <c r="C94" i="15"/>
  <c r="B96" i="15"/>
  <c r="B44" i="22" s="1"/>
  <c r="C96" i="15"/>
  <c r="C44" i="22" s="1"/>
  <c r="C71" i="22" s="1"/>
  <c r="O96" i="15"/>
  <c r="C104" i="15"/>
  <c r="C105" i="15"/>
  <c r="I105" i="15" s="1"/>
  <c r="B107" i="15"/>
  <c r="C107" i="15"/>
  <c r="B108" i="15"/>
  <c r="C108" i="15"/>
  <c r="C110" i="15"/>
  <c r="C10" i="15" s="1"/>
  <c r="O110" i="15"/>
  <c r="O10" i="15" s="1"/>
  <c r="P110" i="15"/>
  <c r="P10" i="15" s="1"/>
  <c r="C116" i="15"/>
  <c r="C117" i="15"/>
  <c r="I117" i="15" s="1"/>
  <c r="B119" i="15"/>
  <c r="C119" i="15"/>
  <c r="B120" i="15"/>
  <c r="C120" i="15"/>
  <c r="C122" i="15"/>
  <c r="C11" i="15" s="1"/>
  <c r="O122" i="15"/>
  <c r="O11" i="15" s="1"/>
  <c r="P122" i="15"/>
  <c r="P11" i="15" s="1"/>
  <c r="C128" i="15"/>
  <c r="C129" i="15"/>
  <c r="B131" i="15"/>
  <c r="C131" i="15"/>
  <c r="B132" i="15"/>
  <c r="C132" i="15"/>
  <c r="C134" i="15"/>
  <c r="C12" i="15" s="1"/>
  <c r="O134" i="15"/>
  <c r="O12" i="15" s="1"/>
  <c r="P134" i="15"/>
  <c r="P12" i="15" s="1"/>
  <c r="C140" i="15"/>
  <c r="C141" i="15"/>
  <c r="I141" i="15" s="1"/>
  <c r="B143" i="15"/>
  <c r="C143" i="15"/>
  <c r="B144" i="15"/>
  <c r="C144" i="15"/>
  <c r="C146" i="15"/>
  <c r="C13" i="15" s="1"/>
  <c r="O146" i="15"/>
  <c r="O13" i="15" s="1"/>
  <c r="P146" i="15"/>
  <c r="P13" i="15" s="1"/>
  <c r="C152" i="15"/>
  <c r="C153" i="15"/>
  <c r="B155" i="15"/>
  <c r="C155" i="15"/>
  <c r="B156" i="15"/>
  <c r="C156" i="15"/>
  <c r="C158" i="15"/>
  <c r="C14" i="15" s="1"/>
  <c r="O158" i="15"/>
  <c r="O14" i="15" s="1"/>
  <c r="P158" i="15"/>
  <c r="P14" i="15" s="1"/>
  <c r="C164" i="15"/>
  <c r="C165" i="15"/>
  <c r="I165" i="15" s="1"/>
  <c r="B167" i="15"/>
  <c r="C167" i="15"/>
  <c r="B168" i="15"/>
  <c r="C168" i="15"/>
  <c r="C170" i="15"/>
  <c r="C15" i="15" s="1"/>
  <c r="O170" i="15"/>
  <c r="O15" i="15" s="1"/>
  <c r="P170" i="15"/>
  <c r="P15" i="15" s="1"/>
  <c r="C176" i="15"/>
  <c r="C177" i="15"/>
  <c r="I177" i="15" s="1"/>
  <c r="B179" i="15"/>
  <c r="C179" i="15"/>
  <c r="B180" i="15"/>
  <c r="C180" i="15"/>
  <c r="C182" i="15"/>
  <c r="C16" i="15" s="1"/>
  <c r="O182" i="15"/>
  <c r="O16" i="15" s="1"/>
  <c r="P182" i="15"/>
  <c r="P16" i="15" s="1"/>
  <c r="C188" i="15"/>
  <c r="C189" i="15"/>
  <c r="I189" i="15" s="1"/>
  <c r="B191" i="15"/>
  <c r="C191" i="15"/>
  <c r="B192" i="15"/>
  <c r="C192" i="15"/>
  <c r="C194" i="15"/>
  <c r="C17" i="15" s="1"/>
  <c r="O194" i="15"/>
  <c r="O17" i="15" s="1"/>
  <c r="P194" i="15"/>
  <c r="P17" i="15" s="1"/>
  <c r="C200" i="15"/>
  <c r="C201" i="15"/>
  <c r="B203" i="15"/>
  <c r="C203" i="15"/>
  <c r="B204" i="15"/>
  <c r="C204" i="15"/>
  <c r="C206" i="15"/>
  <c r="C18" i="15" s="1"/>
  <c r="O206" i="15"/>
  <c r="O18" i="15" s="1"/>
  <c r="P206" i="15"/>
  <c r="P18" i="15" s="1"/>
  <c r="E211" i="15"/>
  <c r="F212" i="15" s="1"/>
  <c r="F218" i="15" s="1"/>
  <c r="F19" i="15" s="1"/>
  <c r="B215" i="15"/>
  <c r="C215" i="15"/>
  <c r="B216" i="15"/>
  <c r="C216" i="15"/>
  <c r="C224" i="15"/>
  <c r="C225" i="15"/>
  <c r="I225" i="15" s="1"/>
  <c r="B227" i="15"/>
  <c r="C227" i="15"/>
  <c r="B228" i="15"/>
  <c r="C228" i="15"/>
  <c r="C230" i="15"/>
  <c r="C20" i="15" s="1"/>
  <c r="O230" i="15"/>
  <c r="O20" i="15" s="1"/>
  <c r="P230" i="15"/>
  <c r="P20" i="15" s="1"/>
  <c r="C236" i="15"/>
  <c r="C237" i="15"/>
  <c r="I237" i="15" s="1"/>
  <c r="B239" i="15"/>
  <c r="C239" i="15"/>
  <c r="B240" i="15"/>
  <c r="C240" i="15"/>
  <c r="C242" i="15"/>
  <c r="C21" i="15" s="1"/>
  <c r="O242" i="15"/>
  <c r="O21" i="15" s="1"/>
  <c r="P242" i="15"/>
  <c r="P21" i="15" s="1"/>
  <c r="C248" i="15"/>
  <c r="C249" i="15"/>
  <c r="I249" i="15" s="1"/>
  <c r="B251" i="15"/>
  <c r="C251" i="15"/>
  <c r="B252" i="15"/>
  <c r="C252" i="15"/>
  <c r="C254" i="15"/>
  <c r="C22" i="15" s="1"/>
  <c r="O254" i="15"/>
  <c r="O22" i="15" s="1"/>
  <c r="P254" i="15"/>
  <c r="P22" i="15" s="1"/>
  <c r="C260" i="15"/>
  <c r="C261" i="15"/>
  <c r="I261" i="15" s="1"/>
  <c r="B263" i="15"/>
  <c r="C263" i="15"/>
  <c r="B264" i="15"/>
  <c r="C264" i="15"/>
  <c r="C266" i="15"/>
  <c r="C23" i="15" s="1"/>
  <c r="O266" i="15"/>
  <c r="O23" i="15" s="1"/>
  <c r="P266" i="15"/>
  <c r="P23" i="15" s="1"/>
  <c r="D37" i="14"/>
  <c r="D44" i="14" s="1"/>
  <c r="D8" i="14" s="1"/>
  <c r="F37" i="14"/>
  <c r="B89" i="14"/>
  <c r="B10" i="14" s="1"/>
  <c r="D89" i="14"/>
  <c r="D10" i="14" s="1"/>
  <c r="B24" i="14"/>
  <c r="B7" i="14" s="1"/>
  <c r="C24" i="14"/>
  <c r="C7" i="14" s="1"/>
  <c r="O24" i="14"/>
  <c r="N30" i="21" s="1"/>
  <c r="P24" i="14"/>
  <c r="O37" i="14"/>
  <c r="O44" i="14" s="1"/>
  <c r="O8" i="14" s="1"/>
  <c r="P37" i="14"/>
  <c r="P44" i="14" s="1"/>
  <c r="P8" i="14" s="1"/>
  <c r="E56" i="14"/>
  <c r="F57" i="14" s="1"/>
  <c r="B57" i="14"/>
  <c r="C57" i="14"/>
  <c r="B58" i="14"/>
  <c r="C58" i="14"/>
  <c r="I58" i="14" s="1"/>
  <c r="B60" i="14"/>
  <c r="C60" i="14"/>
  <c r="B61" i="14"/>
  <c r="C61" i="14"/>
  <c r="B63" i="14"/>
  <c r="B17" i="22" s="1"/>
  <c r="C63" i="14"/>
  <c r="C17" i="22" s="1"/>
  <c r="O63" i="14"/>
  <c r="I65" i="14"/>
  <c r="O65" i="14"/>
  <c r="I66" i="14"/>
  <c r="K66" i="14"/>
  <c r="O66" i="14"/>
  <c r="P66" i="14"/>
  <c r="E68" i="14"/>
  <c r="F69" i="14" s="1"/>
  <c r="B69" i="14"/>
  <c r="C69" i="14"/>
  <c r="B70" i="14"/>
  <c r="C70" i="14"/>
  <c r="B73" i="14"/>
  <c r="C73" i="14"/>
  <c r="B75" i="14"/>
  <c r="C75" i="14"/>
  <c r="C43" i="22" s="1"/>
  <c r="O75" i="14"/>
  <c r="N43" i="22" s="1"/>
  <c r="C83" i="14"/>
  <c r="C84" i="14"/>
  <c r="I84" i="14" s="1"/>
  <c r="B86" i="14"/>
  <c r="C86" i="14"/>
  <c r="B87" i="14"/>
  <c r="C87" i="14"/>
  <c r="C89" i="14"/>
  <c r="C10" i="14" s="1"/>
  <c r="O89" i="14"/>
  <c r="O10" i="14" s="1"/>
  <c r="P89" i="14"/>
  <c r="P10" i="14" s="1"/>
  <c r="D59" i="13"/>
  <c r="D8" i="13" s="1"/>
  <c r="F52" i="13"/>
  <c r="B10" i="13"/>
  <c r="D104" i="13"/>
  <c r="D10" i="13" s="1"/>
  <c r="B116" i="13"/>
  <c r="B11" i="13" s="1"/>
  <c r="D116" i="13"/>
  <c r="D11" i="13" s="1"/>
  <c r="D128" i="13"/>
  <c r="D12" i="13" s="1"/>
  <c r="B140" i="13"/>
  <c r="B13" i="13" s="1"/>
  <c r="D140" i="13"/>
  <c r="D13" i="13" s="1"/>
  <c r="B152" i="13"/>
  <c r="B14" i="13" s="1"/>
  <c r="D152" i="13"/>
  <c r="D14" i="13" s="1"/>
  <c r="B164" i="13"/>
  <c r="B15" i="13" s="1"/>
  <c r="D164" i="13"/>
  <c r="D15" i="13" s="1"/>
  <c r="B176" i="13"/>
  <c r="B16" i="13" s="1"/>
  <c r="D176" i="13"/>
  <c r="D16" i="13" s="1"/>
  <c r="B188" i="13"/>
  <c r="B17" i="13" s="1"/>
  <c r="D188" i="13"/>
  <c r="D17" i="13" s="1"/>
  <c r="B200" i="13"/>
  <c r="B18" i="13" s="1"/>
  <c r="D200" i="13"/>
  <c r="D18" i="13" s="1"/>
  <c r="F200" i="13"/>
  <c r="F202" i="13" s="1"/>
  <c r="B212" i="13"/>
  <c r="B19" i="13" s="1"/>
  <c r="D212" i="13"/>
  <c r="D19" i="13" s="1"/>
  <c r="B224" i="13"/>
  <c r="B20" i="13" s="1"/>
  <c r="D224" i="13"/>
  <c r="D20" i="13" s="1"/>
  <c r="B236" i="13"/>
  <c r="B21" i="13" s="1"/>
  <c r="D236" i="13"/>
  <c r="D21" i="13" s="1"/>
  <c r="B248" i="13"/>
  <c r="B22" i="13" s="1"/>
  <c r="D248" i="13"/>
  <c r="D22" i="13" s="1"/>
  <c r="B260" i="13"/>
  <c r="B23" i="13" s="1"/>
  <c r="D260" i="13"/>
  <c r="D23" i="13" s="1"/>
  <c r="B31" i="13"/>
  <c r="B32" i="13"/>
  <c r="H32" i="13" s="1"/>
  <c r="H37" i="13" s="1"/>
  <c r="H7" i="13" s="1"/>
  <c r="B34" i="13"/>
  <c r="B35" i="13"/>
  <c r="B37" i="13"/>
  <c r="B7" i="13" s="1"/>
  <c r="C37" i="13"/>
  <c r="C7" i="13" s="1"/>
  <c r="O37" i="13"/>
  <c r="O7" i="13" s="1"/>
  <c r="P37" i="13"/>
  <c r="O29" i="21" s="1"/>
  <c r="C52" i="13"/>
  <c r="O52" i="13"/>
  <c r="O59" i="13" s="1"/>
  <c r="O8" i="13" s="1"/>
  <c r="P52" i="13"/>
  <c r="P59" i="13" s="1"/>
  <c r="P8" i="13" s="1"/>
  <c r="B72" i="13"/>
  <c r="C72" i="13"/>
  <c r="B73" i="13"/>
  <c r="C73" i="13"/>
  <c r="I73" i="13" s="1"/>
  <c r="B75" i="13"/>
  <c r="C75" i="13"/>
  <c r="B76" i="13"/>
  <c r="C76" i="13"/>
  <c r="B78" i="13"/>
  <c r="B16" i="22" s="1"/>
  <c r="C78" i="13"/>
  <c r="O78" i="13"/>
  <c r="N16" i="22" s="1"/>
  <c r="I80" i="13"/>
  <c r="O80" i="13"/>
  <c r="I81" i="13"/>
  <c r="K81" i="13"/>
  <c r="O81" i="13"/>
  <c r="C84" i="13"/>
  <c r="C85" i="13"/>
  <c r="I85" i="13" s="1"/>
  <c r="B88" i="13"/>
  <c r="C88" i="13"/>
  <c r="C90" i="13"/>
  <c r="C42" i="22" s="1"/>
  <c r="O90" i="13"/>
  <c r="C98" i="13"/>
  <c r="C99" i="13"/>
  <c r="C102" i="13"/>
  <c r="C104" i="13"/>
  <c r="C10" i="13" s="1"/>
  <c r="O104" i="13"/>
  <c r="O10" i="13" s="1"/>
  <c r="P104" i="13"/>
  <c r="P10" i="13" s="1"/>
  <c r="C110" i="13"/>
  <c r="C111" i="13"/>
  <c r="I111" i="13" s="1"/>
  <c r="B113" i="13"/>
  <c r="C113" i="13"/>
  <c r="B114" i="13"/>
  <c r="C114" i="13"/>
  <c r="C116" i="13"/>
  <c r="C11" i="13" s="1"/>
  <c r="O116" i="13"/>
  <c r="O11" i="13" s="1"/>
  <c r="P116" i="13"/>
  <c r="P11" i="13" s="1"/>
  <c r="B122" i="13"/>
  <c r="C122" i="13"/>
  <c r="B123" i="13"/>
  <c r="C123" i="13"/>
  <c r="I123" i="13" s="1"/>
  <c r="B125" i="13"/>
  <c r="C125" i="13"/>
  <c r="B126" i="13"/>
  <c r="C126" i="13"/>
  <c r="B128" i="13"/>
  <c r="B12" i="13" s="1"/>
  <c r="C128" i="13"/>
  <c r="C12" i="13" s="1"/>
  <c r="O128" i="13"/>
  <c r="O12" i="13" s="1"/>
  <c r="P128" i="13"/>
  <c r="P12" i="13" s="1"/>
  <c r="B137" i="13"/>
  <c r="B138" i="13"/>
  <c r="C13" i="13"/>
  <c r="O140" i="13"/>
  <c r="O13" i="13" s="1"/>
  <c r="P140" i="13"/>
  <c r="P13" i="13" s="1"/>
  <c r="C146" i="13"/>
  <c r="C147" i="13"/>
  <c r="I147" i="13" s="1"/>
  <c r="B149" i="13"/>
  <c r="C149" i="13"/>
  <c r="B150" i="13"/>
  <c r="C150" i="13"/>
  <c r="C152" i="13"/>
  <c r="C14" i="13" s="1"/>
  <c r="O152" i="13"/>
  <c r="O14" i="13" s="1"/>
  <c r="P152" i="13"/>
  <c r="P14" i="13" s="1"/>
  <c r="C158" i="13"/>
  <c r="C159" i="13"/>
  <c r="I159" i="13" s="1"/>
  <c r="B161" i="13"/>
  <c r="C161" i="13"/>
  <c r="B162" i="13"/>
  <c r="C162" i="13"/>
  <c r="C164" i="13"/>
  <c r="C15" i="13" s="1"/>
  <c r="O164" i="13"/>
  <c r="O15" i="13" s="1"/>
  <c r="P164" i="13"/>
  <c r="P15" i="13" s="1"/>
  <c r="C170" i="13"/>
  <c r="C171" i="13"/>
  <c r="I171" i="13" s="1"/>
  <c r="B173" i="13"/>
  <c r="C173" i="13"/>
  <c r="B174" i="13"/>
  <c r="C174" i="13"/>
  <c r="C176" i="13"/>
  <c r="C16" i="13" s="1"/>
  <c r="O176" i="13"/>
  <c r="O16" i="13" s="1"/>
  <c r="P176" i="13"/>
  <c r="P16" i="13" s="1"/>
  <c r="C182" i="13"/>
  <c r="C183" i="13"/>
  <c r="I183" i="13" s="1"/>
  <c r="B185" i="13"/>
  <c r="C185" i="13"/>
  <c r="B186" i="13"/>
  <c r="C186" i="13"/>
  <c r="C188" i="13"/>
  <c r="C17" i="13" s="1"/>
  <c r="O188" i="13"/>
  <c r="O17" i="13" s="1"/>
  <c r="P188" i="13"/>
  <c r="P17" i="13" s="1"/>
  <c r="C194" i="13"/>
  <c r="C195" i="13"/>
  <c r="I195" i="13" s="1"/>
  <c r="B197" i="13"/>
  <c r="C197" i="13"/>
  <c r="B198" i="13"/>
  <c r="C198" i="13"/>
  <c r="C200" i="13"/>
  <c r="C18" i="13" s="1"/>
  <c r="O200" i="13"/>
  <c r="O18" i="13" s="1"/>
  <c r="P200" i="13"/>
  <c r="P18" i="13" s="1"/>
  <c r="C206" i="13"/>
  <c r="C207" i="13"/>
  <c r="I207" i="13" s="1"/>
  <c r="B209" i="13"/>
  <c r="C209" i="13"/>
  <c r="B210" i="13"/>
  <c r="C210" i="13"/>
  <c r="C212" i="13"/>
  <c r="C19" i="13" s="1"/>
  <c r="O212" i="13"/>
  <c r="O19" i="13" s="1"/>
  <c r="P212" i="13"/>
  <c r="P19" i="13" s="1"/>
  <c r="C218" i="13"/>
  <c r="C219" i="13"/>
  <c r="B221" i="13"/>
  <c r="C221" i="13"/>
  <c r="B222" i="13"/>
  <c r="C222" i="13"/>
  <c r="C224" i="13"/>
  <c r="C20" i="13" s="1"/>
  <c r="O224" i="13"/>
  <c r="O20" i="13" s="1"/>
  <c r="P224" i="13"/>
  <c r="P20" i="13" s="1"/>
  <c r="C230" i="13"/>
  <c r="C231" i="13"/>
  <c r="I231" i="13" s="1"/>
  <c r="B233" i="13"/>
  <c r="C233" i="13"/>
  <c r="B234" i="13"/>
  <c r="C234" i="13"/>
  <c r="C236" i="13"/>
  <c r="C21" i="13" s="1"/>
  <c r="O236" i="13"/>
  <c r="O21" i="13" s="1"/>
  <c r="P236" i="13"/>
  <c r="P21" i="13" s="1"/>
  <c r="C242" i="13"/>
  <c r="C243" i="13"/>
  <c r="I243" i="13" s="1"/>
  <c r="B245" i="13"/>
  <c r="C245" i="13"/>
  <c r="B246" i="13"/>
  <c r="C246" i="13"/>
  <c r="C248" i="13"/>
  <c r="C22" i="13" s="1"/>
  <c r="O248" i="13"/>
  <c r="O22" i="13" s="1"/>
  <c r="P248" i="13"/>
  <c r="P22" i="13" s="1"/>
  <c r="C254" i="13"/>
  <c r="C255" i="13"/>
  <c r="B257" i="13"/>
  <c r="C257" i="13"/>
  <c r="B258" i="13"/>
  <c r="C258" i="13"/>
  <c r="C260" i="13"/>
  <c r="C23" i="13" s="1"/>
  <c r="O260" i="13"/>
  <c r="O23" i="13" s="1"/>
  <c r="P260" i="13"/>
  <c r="P23" i="13" s="1"/>
  <c r="D57" i="12"/>
  <c r="D64" i="12" s="1"/>
  <c r="D8" i="12" s="1"/>
  <c r="B109" i="12"/>
  <c r="B10" i="12" s="1"/>
  <c r="D109" i="12"/>
  <c r="D10" i="12" s="1"/>
  <c r="B121" i="12"/>
  <c r="B11" i="12" s="1"/>
  <c r="D121" i="12"/>
  <c r="D11" i="12" s="1"/>
  <c r="B133" i="12"/>
  <c r="B12" i="12" s="1"/>
  <c r="D133" i="12"/>
  <c r="D12" i="12" s="1"/>
  <c r="B145" i="12"/>
  <c r="B13" i="12" s="1"/>
  <c r="D145" i="12"/>
  <c r="D13" i="12" s="1"/>
  <c r="B157" i="12"/>
  <c r="B14" i="12" s="1"/>
  <c r="D157" i="12"/>
  <c r="D14" i="12" s="1"/>
  <c r="B169" i="12"/>
  <c r="B15" i="12" s="1"/>
  <c r="D169" i="12"/>
  <c r="D15" i="12" s="1"/>
  <c r="B181" i="12"/>
  <c r="B16" i="12" s="1"/>
  <c r="D181" i="12"/>
  <c r="D16" i="12" s="1"/>
  <c r="B193" i="12"/>
  <c r="B17" i="12" s="1"/>
  <c r="D193" i="12"/>
  <c r="D17" i="12" s="1"/>
  <c r="B205" i="12"/>
  <c r="B18" i="12" s="1"/>
  <c r="D205" i="12"/>
  <c r="D18" i="12" s="1"/>
  <c r="B217" i="12"/>
  <c r="B19" i="12" s="1"/>
  <c r="D217" i="12"/>
  <c r="D19" i="12" s="1"/>
  <c r="B229" i="12"/>
  <c r="B20" i="12" s="1"/>
  <c r="D229" i="12"/>
  <c r="D20" i="12" s="1"/>
  <c r="F28" i="12"/>
  <c r="B28" i="12"/>
  <c r="B29" i="12"/>
  <c r="H29" i="12" s="1"/>
  <c r="H34" i="12" s="1"/>
  <c r="H7" i="12" s="1"/>
  <c r="B31" i="12"/>
  <c r="B32" i="12"/>
  <c r="B34" i="12"/>
  <c r="B7" i="12" s="1"/>
  <c r="C34" i="12"/>
  <c r="C7" i="12" s="1"/>
  <c r="O34" i="12"/>
  <c r="N28" i="21" s="1"/>
  <c r="P34" i="12"/>
  <c r="O28" i="21" s="1"/>
  <c r="C57" i="12"/>
  <c r="C58" i="12" s="1"/>
  <c r="O57" i="12"/>
  <c r="O64" i="12" s="1"/>
  <c r="O8" i="12" s="1"/>
  <c r="P57" i="12"/>
  <c r="P64" i="12" s="1"/>
  <c r="P8" i="12" s="1"/>
  <c r="F69" i="12"/>
  <c r="E76" i="12"/>
  <c r="F77" i="12" s="1"/>
  <c r="B77" i="12"/>
  <c r="C77" i="12"/>
  <c r="B78" i="12"/>
  <c r="C78" i="12"/>
  <c r="B80" i="12"/>
  <c r="C80" i="12"/>
  <c r="B81" i="12"/>
  <c r="C81" i="12"/>
  <c r="B83" i="12"/>
  <c r="B15" i="22" s="1"/>
  <c r="C83" i="12"/>
  <c r="C15" i="22" s="1"/>
  <c r="O83" i="12"/>
  <c r="N15" i="22" s="1"/>
  <c r="I85" i="12"/>
  <c r="O85" i="12"/>
  <c r="I86" i="12"/>
  <c r="K86" i="12"/>
  <c r="O86" i="12"/>
  <c r="F89" i="12"/>
  <c r="C89" i="12"/>
  <c r="C90" i="12"/>
  <c r="B93" i="12"/>
  <c r="C93" i="12"/>
  <c r="C95" i="12"/>
  <c r="C41" i="22" s="1"/>
  <c r="O95" i="12"/>
  <c r="C103" i="12"/>
  <c r="C104" i="12"/>
  <c r="B106" i="12"/>
  <c r="C106" i="12"/>
  <c r="B107" i="12"/>
  <c r="C107" i="12"/>
  <c r="C109" i="12"/>
  <c r="C10" i="12" s="1"/>
  <c r="O109" i="12"/>
  <c r="O10" i="12" s="1"/>
  <c r="P109" i="12"/>
  <c r="P10" i="12" s="1"/>
  <c r="E114" i="12"/>
  <c r="F115" i="12" s="1"/>
  <c r="F121" i="12" s="1"/>
  <c r="C115" i="12"/>
  <c r="C116" i="12"/>
  <c r="I116" i="12" s="1"/>
  <c r="B118" i="12"/>
  <c r="C118" i="12"/>
  <c r="B119" i="12"/>
  <c r="C119" i="12"/>
  <c r="C121" i="12"/>
  <c r="C11" i="12" s="1"/>
  <c r="O121" i="12"/>
  <c r="O11" i="12" s="1"/>
  <c r="P121" i="12"/>
  <c r="P11" i="12" s="1"/>
  <c r="F127" i="12"/>
  <c r="F133" i="12" s="1"/>
  <c r="C127" i="12"/>
  <c r="C128" i="12"/>
  <c r="I128" i="12" s="1"/>
  <c r="B130" i="12"/>
  <c r="C130" i="12"/>
  <c r="B131" i="12"/>
  <c r="C131" i="12"/>
  <c r="C133" i="12"/>
  <c r="C12" i="12" s="1"/>
  <c r="O133" i="12"/>
  <c r="O12" i="12" s="1"/>
  <c r="P133" i="12"/>
  <c r="P12" i="12" s="1"/>
  <c r="C139" i="12"/>
  <c r="C140" i="12"/>
  <c r="B142" i="12"/>
  <c r="C142" i="12"/>
  <c r="B143" i="12"/>
  <c r="C143" i="12"/>
  <c r="C145" i="12"/>
  <c r="C13" i="12" s="1"/>
  <c r="O145" i="12"/>
  <c r="O13" i="12" s="1"/>
  <c r="P145" i="12"/>
  <c r="P13" i="12" s="1"/>
  <c r="E150" i="12"/>
  <c r="F151" i="12" s="1"/>
  <c r="F157" i="12" s="1"/>
  <c r="C151" i="12"/>
  <c r="C152" i="12"/>
  <c r="B154" i="12"/>
  <c r="C154" i="12"/>
  <c r="B155" i="12"/>
  <c r="C155" i="12"/>
  <c r="C157" i="12"/>
  <c r="C14" i="12" s="1"/>
  <c r="O157" i="12"/>
  <c r="O14" i="12" s="1"/>
  <c r="P157" i="12"/>
  <c r="P14" i="12" s="1"/>
  <c r="F163" i="12"/>
  <c r="C163" i="12"/>
  <c r="C164" i="12"/>
  <c r="B166" i="12"/>
  <c r="C166" i="12"/>
  <c r="B167" i="12"/>
  <c r="C167" i="12"/>
  <c r="C169" i="12"/>
  <c r="C15" i="12" s="1"/>
  <c r="O169" i="12"/>
  <c r="O15" i="12" s="1"/>
  <c r="P169" i="12"/>
  <c r="P15" i="12" s="1"/>
  <c r="C175" i="12"/>
  <c r="C176" i="12"/>
  <c r="B178" i="12"/>
  <c r="C178" i="12"/>
  <c r="B179" i="12"/>
  <c r="C179" i="12"/>
  <c r="C181" i="12"/>
  <c r="C16" i="12" s="1"/>
  <c r="O181" i="12"/>
  <c r="O16" i="12" s="1"/>
  <c r="P181" i="12"/>
  <c r="P16" i="12" s="1"/>
  <c r="C187" i="12"/>
  <c r="C188" i="12"/>
  <c r="I188" i="12" s="1"/>
  <c r="B190" i="12"/>
  <c r="C190" i="12"/>
  <c r="B191" i="12"/>
  <c r="C191" i="12"/>
  <c r="C193" i="12"/>
  <c r="C17" i="12" s="1"/>
  <c r="O193" i="12"/>
  <c r="O17" i="12" s="1"/>
  <c r="P193" i="12"/>
  <c r="P17" i="12" s="1"/>
  <c r="F199" i="12"/>
  <c r="C199" i="12"/>
  <c r="C200" i="12"/>
  <c r="B202" i="12"/>
  <c r="C202" i="12"/>
  <c r="B203" i="12"/>
  <c r="C203" i="12"/>
  <c r="C205" i="12"/>
  <c r="C18" i="12" s="1"/>
  <c r="O205" i="12"/>
  <c r="O18" i="12" s="1"/>
  <c r="P205" i="12"/>
  <c r="P18" i="12" s="1"/>
  <c r="C211" i="12"/>
  <c r="C212" i="12"/>
  <c r="I212" i="12" s="1"/>
  <c r="B214" i="12"/>
  <c r="C214" i="12"/>
  <c r="B215" i="12"/>
  <c r="C215" i="12"/>
  <c r="C217" i="12"/>
  <c r="C19" i="12" s="1"/>
  <c r="O217" i="12"/>
  <c r="O19" i="12" s="1"/>
  <c r="P217" i="12"/>
  <c r="P19" i="12" s="1"/>
  <c r="F223" i="12"/>
  <c r="F229" i="12" s="1"/>
  <c r="F231" i="12" s="1"/>
  <c r="C223" i="12"/>
  <c r="C224" i="12"/>
  <c r="I224" i="12" s="1"/>
  <c r="C226" i="12"/>
  <c r="C227" i="12"/>
  <c r="C229" i="12"/>
  <c r="C20" i="12" s="1"/>
  <c r="O229" i="12"/>
  <c r="O20" i="12" s="1"/>
  <c r="P229" i="12"/>
  <c r="P20" i="12" s="1"/>
  <c r="B27" i="11"/>
  <c r="B7" i="11" s="1"/>
  <c r="C27" i="11"/>
  <c r="C7" i="11" s="1"/>
  <c r="D46" i="11"/>
  <c r="D53" i="11" s="1"/>
  <c r="D8" i="11" s="1"/>
  <c r="F46" i="11"/>
  <c r="B84" i="11"/>
  <c r="C84" i="11"/>
  <c r="B100" i="11"/>
  <c r="B10" i="11" s="1"/>
  <c r="C10" i="11"/>
  <c r="D10" i="11"/>
  <c r="B112" i="11"/>
  <c r="B11" i="11" s="1"/>
  <c r="C112" i="11"/>
  <c r="C11" i="11" s="1"/>
  <c r="D112" i="11"/>
  <c r="D11" i="11" s="1"/>
  <c r="B124" i="11"/>
  <c r="B12" i="11" s="1"/>
  <c r="C124" i="11"/>
  <c r="C12" i="11" s="1"/>
  <c r="D124" i="11"/>
  <c r="D12" i="11" s="1"/>
  <c r="B136" i="11"/>
  <c r="B13" i="11" s="1"/>
  <c r="C136" i="11"/>
  <c r="C13" i="11" s="1"/>
  <c r="D136" i="11"/>
  <c r="D13" i="11" s="1"/>
  <c r="B24" i="11"/>
  <c r="C24" i="11"/>
  <c r="B25" i="11"/>
  <c r="C25" i="11"/>
  <c r="F57" i="11"/>
  <c r="B69" i="11"/>
  <c r="C69" i="11"/>
  <c r="C70" i="11"/>
  <c r="F84" i="11"/>
  <c r="B81" i="11"/>
  <c r="B82" i="11"/>
  <c r="D84" i="11"/>
  <c r="B97" i="11"/>
  <c r="B98" i="11"/>
  <c r="B109" i="11"/>
  <c r="C109" i="11"/>
  <c r="B110" i="11"/>
  <c r="C110" i="11"/>
  <c r="B121" i="11"/>
  <c r="C121" i="11"/>
  <c r="B122" i="11"/>
  <c r="C122" i="11"/>
  <c r="B133" i="11"/>
  <c r="C133" i="11"/>
  <c r="B134" i="11"/>
  <c r="C134" i="11"/>
  <c r="D55" i="10"/>
  <c r="D62" i="10" s="1"/>
  <c r="D8" i="10" s="1"/>
  <c r="F55" i="10"/>
  <c r="B107" i="10"/>
  <c r="B10" i="10" s="1"/>
  <c r="D107" i="10"/>
  <c r="D10" i="10" s="1"/>
  <c r="B119" i="10"/>
  <c r="B11" i="10" s="1"/>
  <c r="D119" i="10"/>
  <c r="D11" i="10" s="1"/>
  <c r="B131" i="10"/>
  <c r="B12" i="10" s="1"/>
  <c r="D131" i="10"/>
  <c r="D12" i="10" s="1"/>
  <c r="B143" i="10"/>
  <c r="B13" i="10" s="1"/>
  <c r="D143" i="10"/>
  <c r="D13" i="10" s="1"/>
  <c r="B155" i="10"/>
  <c r="B14" i="10" s="1"/>
  <c r="D155" i="10"/>
  <c r="D14" i="10" s="1"/>
  <c r="B167" i="10"/>
  <c r="B15" i="10" s="1"/>
  <c r="D167" i="10"/>
  <c r="D15" i="10" s="1"/>
  <c r="B179" i="10"/>
  <c r="B16" i="10" s="1"/>
  <c r="D179" i="10"/>
  <c r="D16" i="10" s="1"/>
  <c r="B191" i="10"/>
  <c r="B17" i="10" s="1"/>
  <c r="D191" i="10"/>
  <c r="D17" i="10" s="1"/>
  <c r="B203" i="10"/>
  <c r="B18" i="10" s="1"/>
  <c r="D203" i="10"/>
  <c r="D18" i="10" s="1"/>
  <c r="B215" i="10"/>
  <c r="B19" i="10" s="1"/>
  <c r="D215" i="10"/>
  <c r="D19" i="10" s="1"/>
  <c r="B227" i="10"/>
  <c r="B20" i="10" s="1"/>
  <c r="D227" i="10"/>
  <c r="D20" i="10" s="1"/>
  <c r="G25" i="10"/>
  <c r="H29" i="10"/>
  <c r="B7" i="10"/>
  <c r="C34" i="10"/>
  <c r="C7" i="10" s="1"/>
  <c r="O34" i="10"/>
  <c r="N26" i="21" s="1"/>
  <c r="P34" i="10"/>
  <c r="P7" i="10" s="1"/>
  <c r="C55" i="10"/>
  <c r="C56" i="10" s="1"/>
  <c r="O55" i="10"/>
  <c r="O62" i="10" s="1"/>
  <c r="O8" i="10" s="1"/>
  <c r="P55" i="10"/>
  <c r="P62" i="10" s="1"/>
  <c r="P8" i="10" s="1"/>
  <c r="F66" i="10"/>
  <c r="B75" i="10"/>
  <c r="C75" i="10"/>
  <c r="B76" i="10"/>
  <c r="C76" i="10"/>
  <c r="I76" i="10" s="1"/>
  <c r="B78" i="10"/>
  <c r="I83" i="10"/>
  <c r="B79" i="10"/>
  <c r="C79" i="10"/>
  <c r="B81" i="10"/>
  <c r="B13" i="22" s="1"/>
  <c r="C81" i="10"/>
  <c r="O81" i="10"/>
  <c r="N13" i="22" s="1"/>
  <c r="O83" i="10"/>
  <c r="I84" i="10"/>
  <c r="K84" i="10"/>
  <c r="O84" i="10"/>
  <c r="C87" i="10"/>
  <c r="C88" i="10"/>
  <c r="I88" i="10" s="1"/>
  <c r="B91" i="10"/>
  <c r="C91" i="10"/>
  <c r="C93" i="10"/>
  <c r="C39" i="22" s="1"/>
  <c r="O93" i="10"/>
  <c r="N39" i="22" s="1"/>
  <c r="C101" i="10"/>
  <c r="C102" i="10"/>
  <c r="I102" i="10" s="1"/>
  <c r="B104" i="10"/>
  <c r="C104" i="10"/>
  <c r="B105" i="10"/>
  <c r="C105" i="10"/>
  <c r="C107" i="10"/>
  <c r="C10" i="10" s="1"/>
  <c r="O107" i="10"/>
  <c r="O10" i="10" s="1"/>
  <c r="P107" i="10"/>
  <c r="P10" i="10" s="1"/>
  <c r="C113" i="10"/>
  <c r="C114" i="10"/>
  <c r="I114" i="10" s="1"/>
  <c r="B116" i="10"/>
  <c r="C116" i="10"/>
  <c r="B117" i="10"/>
  <c r="C117" i="10"/>
  <c r="C119" i="10"/>
  <c r="C11" i="10" s="1"/>
  <c r="O119" i="10"/>
  <c r="O11" i="10" s="1"/>
  <c r="P119" i="10"/>
  <c r="P11" i="10" s="1"/>
  <c r="C125" i="10"/>
  <c r="C126" i="10"/>
  <c r="B128" i="10"/>
  <c r="C128" i="10"/>
  <c r="B129" i="10"/>
  <c r="C129" i="10"/>
  <c r="C131" i="10"/>
  <c r="C12" i="10" s="1"/>
  <c r="O131" i="10"/>
  <c r="O12" i="10" s="1"/>
  <c r="P131" i="10"/>
  <c r="P12" i="10" s="1"/>
  <c r="C137" i="10"/>
  <c r="C138" i="10"/>
  <c r="I138" i="10" s="1"/>
  <c r="B141" i="10"/>
  <c r="C141" i="10"/>
  <c r="C143" i="10"/>
  <c r="C13" i="10" s="1"/>
  <c r="O143" i="10"/>
  <c r="O13" i="10" s="1"/>
  <c r="P143" i="10"/>
  <c r="P13" i="10" s="1"/>
  <c r="C149" i="10"/>
  <c r="C150" i="10"/>
  <c r="B152" i="10"/>
  <c r="C152" i="10"/>
  <c r="I152" i="10" s="1"/>
  <c r="L152" i="10" s="1"/>
  <c r="N152" i="10" s="1"/>
  <c r="Q152" i="10" s="1"/>
  <c r="B153" i="10"/>
  <c r="C153" i="10"/>
  <c r="C155" i="10"/>
  <c r="C14" i="10" s="1"/>
  <c r="O155" i="10"/>
  <c r="O14" i="10" s="1"/>
  <c r="P155" i="10"/>
  <c r="P14" i="10" s="1"/>
  <c r="C161" i="10"/>
  <c r="C162" i="10"/>
  <c r="I162" i="10" s="1"/>
  <c r="B164" i="10"/>
  <c r="C164" i="10"/>
  <c r="I164" i="10" s="1"/>
  <c r="L164" i="10" s="1"/>
  <c r="N164" i="10" s="1"/>
  <c r="Q164" i="10" s="1"/>
  <c r="B165" i="10"/>
  <c r="C165" i="10"/>
  <c r="C167" i="10"/>
  <c r="C15" i="10" s="1"/>
  <c r="O167" i="10"/>
  <c r="O15" i="10" s="1"/>
  <c r="P167" i="10"/>
  <c r="P15" i="10" s="1"/>
  <c r="C173" i="10"/>
  <c r="C174" i="10"/>
  <c r="B176" i="10"/>
  <c r="C176" i="10"/>
  <c r="B177" i="10"/>
  <c r="C177" i="10"/>
  <c r="C179" i="10"/>
  <c r="C16" i="10" s="1"/>
  <c r="O179" i="10"/>
  <c r="O16" i="10" s="1"/>
  <c r="P179" i="10"/>
  <c r="P16" i="10" s="1"/>
  <c r="E184" i="10"/>
  <c r="F185" i="10" s="1"/>
  <c r="F191" i="10" s="1"/>
  <c r="F17" i="10" s="1"/>
  <c r="C185" i="10"/>
  <c r="C186" i="10"/>
  <c r="I186" i="10" s="1"/>
  <c r="B188" i="10"/>
  <c r="C188" i="10"/>
  <c r="B189" i="10"/>
  <c r="C189" i="10"/>
  <c r="C191" i="10"/>
  <c r="C17" i="10" s="1"/>
  <c r="O191" i="10"/>
  <c r="O17" i="10" s="1"/>
  <c r="P191" i="10"/>
  <c r="P17" i="10" s="1"/>
  <c r="C197" i="10"/>
  <c r="C198" i="10"/>
  <c r="I198" i="10" s="1"/>
  <c r="B200" i="10"/>
  <c r="C200" i="10"/>
  <c r="B201" i="10"/>
  <c r="C201" i="10"/>
  <c r="C203" i="10"/>
  <c r="C18" i="10" s="1"/>
  <c r="O203" i="10"/>
  <c r="O18" i="10" s="1"/>
  <c r="P203" i="10"/>
  <c r="P18" i="10" s="1"/>
  <c r="C209" i="10"/>
  <c r="C210" i="10"/>
  <c r="I210" i="10" s="1"/>
  <c r="B212" i="10"/>
  <c r="C212" i="10"/>
  <c r="B213" i="10"/>
  <c r="C213" i="10"/>
  <c r="C215" i="10"/>
  <c r="C19" i="10" s="1"/>
  <c r="O215" i="10"/>
  <c r="O19" i="10" s="1"/>
  <c r="P215" i="10"/>
  <c r="P19" i="10" s="1"/>
  <c r="C221" i="10"/>
  <c r="C222" i="10"/>
  <c r="B224" i="10"/>
  <c r="C224" i="10"/>
  <c r="I224" i="10" s="1"/>
  <c r="L224" i="10" s="1"/>
  <c r="B225" i="10"/>
  <c r="C225" i="10"/>
  <c r="C227" i="10"/>
  <c r="C20" i="10" s="1"/>
  <c r="O227" i="10"/>
  <c r="O20" i="10" s="1"/>
  <c r="P227" i="10"/>
  <c r="P20" i="10" s="1"/>
  <c r="D56" i="9"/>
  <c r="D8" i="9" s="1"/>
  <c r="B100" i="9"/>
  <c r="B10" i="9" s="1"/>
  <c r="D100" i="9"/>
  <c r="D10" i="9" s="1"/>
  <c r="B112" i="9"/>
  <c r="B11" i="9" s="1"/>
  <c r="D112" i="9"/>
  <c r="D11" i="9" s="1"/>
  <c r="F124" i="9"/>
  <c r="F12" i="9" s="1"/>
  <c r="F135" i="9"/>
  <c r="B146" i="9"/>
  <c r="B14" i="9" s="1"/>
  <c r="D146" i="9"/>
  <c r="D14" i="9" s="1"/>
  <c r="G19" i="9"/>
  <c r="B22" i="9"/>
  <c r="B23" i="9"/>
  <c r="H23" i="9" s="1"/>
  <c r="H28" i="9" s="1"/>
  <c r="H7" i="9" s="1"/>
  <c r="B25" i="9"/>
  <c r="B26" i="9"/>
  <c r="B28" i="9"/>
  <c r="B7" i="9" s="1"/>
  <c r="C28" i="9"/>
  <c r="C7" i="9" s="1"/>
  <c r="O28" i="9"/>
  <c r="N25" i="21" s="1"/>
  <c r="P28" i="9"/>
  <c r="O25" i="21" s="1"/>
  <c r="O48" i="9"/>
  <c r="O56" i="9" s="1"/>
  <c r="O8" i="9" s="1"/>
  <c r="P48" i="9"/>
  <c r="P56" i="9" s="1"/>
  <c r="P8" i="9" s="1"/>
  <c r="B69" i="9"/>
  <c r="C69" i="9"/>
  <c r="B70" i="9"/>
  <c r="C70" i="9"/>
  <c r="B72" i="9"/>
  <c r="C72" i="9"/>
  <c r="B73" i="9"/>
  <c r="C73" i="9"/>
  <c r="B75" i="9"/>
  <c r="B12" i="22" s="1"/>
  <c r="C75" i="9"/>
  <c r="C12" i="22" s="1"/>
  <c r="O75" i="9"/>
  <c r="N12" i="22" s="1"/>
  <c r="P75" i="9"/>
  <c r="F86" i="9"/>
  <c r="N79" i="9"/>
  <c r="Q79" i="9" s="1"/>
  <c r="B80" i="9"/>
  <c r="C80" i="9"/>
  <c r="G86" i="9"/>
  <c r="B81" i="9"/>
  <c r="C81" i="9"/>
  <c r="H81" i="9" s="1"/>
  <c r="H86" i="9" s="1"/>
  <c r="B83" i="9"/>
  <c r="C83" i="9"/>
  <c r="L83" i="9"/>
  <c r="N83" i="9" s="1"/>
  <c r="Q83" i="9" s="1"/>
  <c r="B84" i="9"/>
  <c r="C84" i="9"/>
  <c r="L84" i="9"/>
  <c r="B86" i="9"/>
  <c r="C86" i="9"/>
  <c r="D86" i="9"/>
  <c r="J86" i="9"/>
  <c r="K86" i="9"/>
  <c r="M86" i="9"/>
  <c r="O86" i="9"/>
  <c r="P86" i="9"/>
  <c r="E93" i="9"/>
  <c r="F94" i="9" s="1"/>
  <c r="F100" i="9" s="1"/>
  <c r="C94" i="9"/>
  <c r="C95" i="9"/>
  <c r="I95" i="9" s="1"/>
  <c r="B97" i="9"/>
  <c r="C97" i="9"/>
  <c r="B98" i="9"/>
  <c r="C98" i="9"/>
  <c r="C100" i="9"/>
  <c r="C10" i="9" s="1"/>
  <c r="O100" i="9"/>
  <c r="O10" i="9" s="1"/>
  <c r="P100" i="9"/>
  <c r="P10" i="9" s="1"/>
  <c r="C106" i="9"/>
  <c r="C107" i="9"/>
  <c r="I107" i="9" s="1"/>
  <c r="B109" i="9"/>
  <c r="C109" i="9"/>
  <c r="B110" i="9"/>
  <c r="C110" i="9"/>
  <c r="C112" i="9"/>
  <c r="C11" i="9" s="1"/>
  <c r="O112" i="9"/>
  <c r="O11" i="9" s="1"/>
  <c r="P112" i="9"/>
  <c r="P11" i="9" s="1"/>
  <c r="E117" i="9"/>
  <c r="L117" i="9"/>
  <c r="C118" i="9"/>
  <c r="I118" i="9" s="1"/>
  <c r="B119" i="9"/>
  <c r="C119" i="9"/>
  <c r="I119" i="9" s="1"/>
  <c r="C121" i="9"/>
  <c r="C122" i="9"/>
  <c r="B12" i="9"/>
  <c r="C124" i="9"/>
  <c r="C12" i="9" s="1"/>
  <c r="D124" i="9"/>
  <c r="D12" i="9" s="1"/>
  <c r="O124" i="9"/>
  <c r="O12" i="9" s="1"/>
  <c r="P124" i="9"/>
  <c r="P12" i="9" s="1"/>
  <c r="E128" i="9"/>
  <c r="L128" i="9"/>
  <c r="N128" i="9" s="1"/>
  <c r="Q128" i="9" s="1"/>
  <c r="C129" i="9"/>
  <c r="I129" i="9" s="1"/>
  <c r="B130" i="9"/>
  <c r="C130" i="9"/>
  <c r="I130" i="9" s="1"/>
  <c r="B132" i="9"/>
  <c r="C132" i="9"/>
  <c r="C133" i="9"/>
  <c r="B13" i="9"/>
  <c r="C135" i="9"/>
  <c r="C13" i="9" s="1"/>
  <c r="D135" i="9"/>
  <c r="D13" i="9" s="1"/>
  <c r="O135" i="9"/>
  <c r="O13" i="9" s="1"/>
  <c r="P135" i="9"/>
  <c r="P13" i="9" s="1"/>
  <c r="C140" i="9"/>
  <c r="C141" i="9"/>
  <c r="B143" i="9"/>
  <c r="C143" i="9"/>
  <c r="B144" i="9"/>
  <c r="C144" i="9"/>
  <c r="C146" i="9"/>
  <c r="C14" i="9" s="1"/>
  <c r="O146" i="9"/>
  <c r="O14" i="9" s="1"/>
  <c r="P146" i="9"/>
  <c r="P14" i="9" s="1"/>
  <c r="D37" i="8"/>
  <c r="D44" i="8" s="1"/>
  <c r="D8" i="8" s="1"/>
  <c r="G14" i="8"/>
  <c r="B17" i="8"/>
  <c r="B18" i="8"/>
  <c r="B20" i="8"/>
  <c r="B21" i="8"/>
  <c r="B7" i="8"/>
  <c r="C23" i="8"/>
  <c r="C7" i="8" s="1"/>
  <c r="O23" i="8"/>
  <c r="N24" i="21" s="1"/>
  <c r="P23" i="8"/>
  <c r="P7" i="8" s="1"/>
  <c r="C37" i="8"/>
  <c r="C39" i="8" s="1"/>
  <c r="I39" i="8" s="1"/>
  <c r="O37" i="8"/>
  <c r="O44" i="8" s="1"/>
  <c r="O8" i="8" s="1"/>
  <c r="P37" i="8"/>
  <c r="P44" i="8" s="1"/>
  <c r="P8" i="8" s="1"/>
  <c r="F48" i="8"/>
  <c r="B57" i="8"/>
  <c r="C57" i="8"/>
  <c r="B58" i="8"/>
  <c r="C58" i="8"/>
  <c r="I58" i="8" s="1"/>
  <c r="B60" i="8"/>
  <c r="C60" i="8"/>
  <c r="B61" i="8"/>
  <c r="C61" i="8"/>
  <c r="B63" i="8"/>
  <c r="B11" i="22" s="1"/>
  <c r="B64" i="22" s="1"/>
  <c r="C63" i="8"/>
  <c r="C11" i="22" s="1"/>
  <c r="C64" i="22" s="1"/>
  <c r="O63" i="8"/>
  <c r="P63" i="8"/>
  <c r="O11" i="22" s="1"/>
  <c r="O64" i="22" s="1"/>
  <c r="Q68" i="8"/>
  <c r="B69" i="8"/>
  <c r="C69" i="8"/>
  <c r="B70" i="8"/>
  <c r="C70" i="8"/>
  <c r="B72" i="8"/>
  <c r="C72" i="8"/>
  <c r="L72" i="8"/>
  <c r="N72" i="8" s="1"/>
  <c r="Q72" i="8" s="1"/>
  <c r="B73" i="8"/>
  <c r="C73" i="8"/>
  <c r="L73" i="8"/>
  <c r="N73" i="8" s="1"/>
  <c r="Q73" i="8" s="1"/>
  <c r="B75" i="8"/>
  <c r="C75" i="8"/>
  <c r="D75" i="8"/>
  <c r="F75" i="8"/>
  <c r="J75" i="8"/>
  <c r="K75" i="8"/>
  <c r="M75" i="8"/>
  <c r="O75" i="8"/>
  <c r="P75" i="8"/>
  <c r="D63" i="7"/>
  <c r="D8" i="7" s="1"/>
  <c r="B108" i="7"/>
  <c r="B10" i="7" s="1"/>
  <c r="D108" i="7"/>
  <c r="D10" i="7" s="1"/>
  <c r="B120" i="7"/>
  <c r="B11" i="7" s="1"/>
  <c r="D120" i="7"/>
  <c r="D11" i="7" s="1"/>
  <c r="B132" i="7"/>
  <c r="B12" i="7" s="1"/>
  <c r="D132" i="7"/>
  <c r="D12" i="7" s="1"/>
  <c r="B144" i="7"/>
  <c r="B13" i="7" s="1"/>
  <c r="D144" i="7"/>
  <c r="D13" i="7" s="1"/>
  <c r="B156" i="7"/>
  <c r="B14" i="7" s="1"/>
  <c r="D156" i="7"/>
  <c r="D14" i="7" s="1"/>
  <c r="B168" i="7"/>
  <c r="B15" i="7" s="1"/>
  <c r="D168" i="7"/>
  <c r="D15" i="7" s="1"/>
  <c r="B180" i="7"/>
  <c r="B16" i="7" s="1"/>
  <c r="D180" i="7"/>
  <c r="D16" i="7" s="1"/>
  <c r="B192" i="7"/>
  <c r="B17" i="7" s="1"/>
  <c r="D192" i="7"/>
  <c r="D17" i="7" s="1"/>
  <c r="B204" i="7"/>
  <c r="B18" i="7" s="1"/>
  <c r="D204" i="7"/>
  <c r="D18" i="7" s="1"/>
  <c r="G23" i="7"/>
  <c r="B32" i="7"/>
  <c r="B7" i="7" s="1"/>
  <c r="C32" i="7"/>
  <c r="C7" i="7" s="1"/>
  <c r="P32" i="7"/>
  <c r="B76" i="7"/>
  <c r="C76" i="7"/>
  <c r="B77" i="7"/>
  <c r="C77" i="7"/>
  <c r="I77" i="7" s="1"/>
  <c r="B79" i="7"/>
  <c r="C79" i="7"/>
  <c r="B80" i="7"/>
  <c r="C80" i="7"/>
  <c r="B82" i="7"/>
  <c r="C82" i="7"/>
  <c r="C10" i="22" s="1"/>
  <c r="C63" i="22" s="1"/>
  <c r="B89" i="7"/>
  <c r="C89" i="7"/>
  <c r="I89" i="7" s="1"/>
  <c r="B91" i="7"/>
  <c r="C91" i="7"/>
  <c r="B92" i="7"/>
  <c r="C92" i="7"/>
  <c r="B94" i="7"/>
  <c r="C94" i="7"/>
  <c r="D94" i="7"/>
  <c r="C102" i="7"/>
  <c r="C103" i="7"/>
  <c r="B105" i="7"/>
  <c r="C105" i="7"/>
  <c r="B106" i="7"/>
  <c r="C106" i="7"/>
  <c r="C108" i="7"/>
  <c r="C10" i="7" s="1"/>
  <c r="O108" i="7"/>
  <c r="O10" i="7" s="1"/>
  <c r="P108" i="7"/>
  <c r="P10" i="7" s="1"/>
  <c r="C114" i="7"/>
  <c r="C115" i="7"/>
  <c r="I115" i="7" s="1"/>
  <c r="B117" i="7"/>
  <c r="C117" i="7"/>
  <c r="B118" i="7"/>
  <c r="C118" i="7"/>
  <c r="C120" i="7"/>
  <c r="C11" i="7" s="1"/>
  <c r="P120" i="7"/>
  <c r="P11" i="7" s="1"/>
  <c r="C126" i="7"/>
  <c r="C127" i="7"/>
  <c r="B129" i="7"/>
  <c r="C129" i="7"/>
  <c r="I129" i="7" s="1"/>
  <c r="L129" i="7" s="1"/>
  <c r="N129" i="7" s="1"/>
  <c r="Q129" i="7" s="1"/>
  <c r="B130" i="7"/>
  <c r="C130" i="7"/>
  <c r="C132" i="7"/>
  <c r="C12" i="7" s="1"/>
  <c r="O132" i="7"/>
  <c r="O12" i="7" s="1"/>
  <c r="P132" i="7"/>
  <c r="P12" i="7" s="1"/>
  <c r="C138" i="7"/>
  <c r="C139" i="7"/>
  <c r="I139" i="7" s="1"/>
  <c r="B141" i="7"/>
  <c r="C141" i="7"/>
  <c r="B142" i="7"/>
  <c r="C142" i="7"/>
  <c r="C144" i="7"/>
  <c r="C13" i="7" s="1"/>
  <c r="O144" i="7"/>
  <c r="O13" i="7" s="1"/>
  <c r="P144" i="7"/>
  <c r="P13" i="7" s="1"/>
  <c r="C150" i="7"/>
  <c r="C151" i="7"/>
  <c r="I151" i="7" s="1"/>
  <c r="B153" i="7"/>
  <c r="C153" i="7"/>
  <c r="B154" i="7"/>
  <c r="C154" i="7"/>
  <c r="C156" i="7"/>
  <c r="C14" i="7" s="1"/>
  <c r="O156" i="7"/>
  <c r="O14" i="7" s="1"/>
  <c r="P156" i="7"/>
  <c r="P14" i="7" s="1"/>
  <c r="C162" i="7"/>
  <c r="C163" i="7"/>
  <c r="B165" i="7"/>
  <c r="C165" i="7"/>
  <c r="B166" i="7"/>
  <c r="C166" i="7"/>
  <c r="C168" i="7"/>
  <c r="C15" i="7" s="1"/>
  <c r="O168" i="7"/>
  <c r="O15" i="7" s="1"/>
  <c r="P168" i="7"/>
  <c r="P15" i="7" s="1"/>
  <c r="C174" i="7"/>
  <c r="C175" i="7"/>
  <c r="I175" i="7" s="1"/>
  <c r="B177" i="7"/>
  <c r="C177" i="7"/>
  <c r="B178" i="7"/>
  <c r="C178" i="7"/>
  <c r="C180" i="7"/>
  <c r="C16" i="7" s="1"/>
  <c r="O180" i="7"/>
  <c r="O16" i="7" s="1"/>
  <c r="P180" i="7"/>
  <c r="P16" i="7" s="1"/>
  <c r="C186" i="7"/>
  <c r="C187" i="7"/>
  <c r="I187" i="7" s="1"/>
  <c r="B189" i="7"/>
  <c r="C189" i="7"/>
  <c r="B190" i="7"/>
  <c r="C190" i="7"/>
  <c r="C192" i="7"/>
  <c r="C17" i="7" s="1"/>
  <c r="P192" i="7"/>
  <c r="P17" i="7" s="1"/>
  <c r="C198" i="7"/>
  <c r="C199" i="7"/>
  <c r="I199" i="7" s="1"/>
  <c r="B201" i="7"/>
  <c r="C201" i="7"/>
  <c r="B202" i="7"/>
  <c r="C202" i="7"/>
  <c r="C204" i="7"/>
  <c r="C18" i="7" s="1"/>
  <c r="P204" i="7"/>
  <c r="P18" i="7" s="1"/>
  <c r="D8" i="6"/>
  <c r="F67" i="6"/>
  <c r="B119" i="6"/>
  <c r="B10" i="6" s="1"/>
  <c r="D119" i="6"/>
  <c r="D10" i="6" s="1"/>
  <c r="B131" i="6"/>
  <c r="B11" i="6" s="1"/>
  <c r="D131" i="6"/>
  <c r="D11" i="6" s="1"/>
  <c r="B143" i="6"/>
  <c r="B12" i="6" s="1"/>
  <c r="D143" i="6"/>
  <c r="D12" i="6" s="1"/>
  <c r="F143" i="6"/>
  <c r="B155" i="6"/>
  <c r="B13" i="6" s="1"/>
  <c r="D155" i="6"/>
  <c r="D13" i="6" s="1"/>
  <c r="B167" i="6"/>
  <c r="B14" i="6" s="1"/>
  <c r="D167" i="6"/>
  <c r="D14" i="6" s="1"/>
  <c r="B179" i="6"/>
  <c r="B15" i="6" s="1"/>
  <c r="D179" i="6"/>
  <c r="D15" i="6" s="1"/>
  <c r="B191" i="6"/>
  <c r="C191" i="6"/>
  <c r="C16" i="6" s="1"/>
  <c r="D191" i="6"/>
  <c r="D16" i="6" s="1"/>
  <c r="F191" i="6"/>
  <c r="F16" i="6" s="1"/>
  <c r="B203" i="6"/>
  <c r="B17" i="6" s="1"/>
  <c r="D203" i="6"/>
  <c r="D17" i="6" s="1"/>
  <c r="B215" i="6"/>
  <c r="B18" i="6" s="1"/>
  <c r="D215" i="6"/>
  <c r="D18" i="6" s="1"/>
  <c r="F215" i="6"/>
  <c r="F18" i="6" s="1"/>
  <c r="B227" i="6"/>
  <c r="B19" i="6" s="1"/>
  <c r="D227" i="6"/>
  <c r="D19" i="6" s="1"/>
  <c r="B239" i="6"/>
  <c r="B20" i="6" s="1"/>
  <c r="D239" i="6"/>
  <c r="D20" i="6" s="1"/>
  <c r="B251" i="6"/>
  <c r="B21" i="6" s="1"/>
  <c r="D251" i="6"/>
  <c r="D21" i="6" s="1"/>
  <c r="B263" i="6"/>
  <c r="B22" i="6" s="1"/>
  <c r="D263" i="6"/>
  <c r="D22" i="6" s="1"/>
  <c r="B275" i="6"/>
  <c r="D275" i="6"/>
  <c r="D23" i="6" s="1"/>
  <c r="B287" i="6"/>
  <c r="B24" i="6" s="1"/>
  <c r="D287" i="6"/>
  <c r="D24" i="6" s="1"/>
  <c r="B299" i="6"/>
  <c r="B25" i="6" s="1"/>
  <c r="D299" i="6"/>
  <c r="D25" i="6" s="1"/>
  <c r="B311" i="6"/>
  <c r="B26" i="6" s="1"/>
  <c r="D311" i="6"/>
  <c r="D26" i="6" s="1"/>
  <c r="B323" i="6"/>
  <c r="B27" i="6" s="1"/>
  <c r="D323" i="6"/>
  <c r="D27" i="6" s="1"/>
  <c r="B335" i="6"/>
  <c r="B28" i="6" s="1"/>
  <c r="C335" i="6"/>
  <c r="C28" i="6" s="1"/>
  <c r="D335" i="6"/>
  <c r="D28" i="6" s="1"/>
  <c r="B347" i="6"/>
  <c r="B29" i="6" s="1"/>
  <c r="D347" i="6"/>
  <c r="D29" i="6" s="1"/>
  <c r="B359" i="6"/>
  <c r="C359" i="6"/>
  <c r="C30" i="6" s="1"/>
  <c r="D359" i="6"/>
  <c r="D30" i="6" s="1"/>
  <c r="F359" i="6"/>
  <c r="B371" i="6"/>
  <c r="B31" i="6" s="1"/>
  <c r="D371" i="6"/>
  <c r="D31" i="6" s="1"/>
  <c r="B383" i="6"/>
  <c r="B32" i="6" s="1"/>
  <c r="D383" i="6"/>
  <c r="D32" i="6" s="1"/>
  <c r="B395" i="6"/>
  <c r="B33" i="6" s="1"/>
  <c r="D395" i="6"/>
  <c r="D33" i="6" s="1"/>
  <c r="B407" i="6"/>
  <c r="B34" i="6" s="1"/>
  <c r="D407" i="6"/>
  <c r="D34" i="6" s="1"/>
  <c r="B419" i="6"/>
  <c r="D419" i="6"/>
  <c r="D35" i="6" s="1"/>
  <c r="B43" i="6"/>
  <c r="C43" i="6"/>
  <c r="B44" i="6"/>
  <c r="C44" i="6"/>
  <c r="I44" i="6" s="1"/>
  <c r="B46" i="6"/>
  <c r="C46" i="6"/>
  <c r="B47" i="6"/>
  <c r="C47" i="6"/>
  <c r="B49" i="6"/>
  <c r="B7" i="6" s="1"/>
  <c r="C49" i="6"/>
  <c r="C7" i="6" s="1"/>
  <c r="P49" i="6"/>
  <c r="O22" i="21" s="1"/>
  <c r="T55" i="6"/>
  <c r="T56" i="6"/>
  <c r="T57" i="6"/>
  <c r="T59" i="6"/>
  <c r="T60" i="6"/>
  <c r="T61" i="6"/>
  <c r="T62" i="6"/>
  <c r="T63" i="6"/>
  <c r="T64" i="6"/>
  <c r="T65" i="6"/>
  <c r="C67" i="6"/>
  <c r="C69" i="6" s="1"/>
  <c r="I69" i="6" s="1"/>
  <c r="K67" i="6"/>
  <c r="K74" i="6" s="1"/>
  <c r="K8" i="6" s="1"/>
  <c r="P67" i="6"/>
  <c r="P74" i="6" s="1"/>
  <c r="P8" i="6" s="1"/>
  <c r="B71" i="6"/>
  <c r="B72" i="6"/>
  <c r="F78" i="6"/>
  <c r="B87" i="6"/>
  <c r="C87" i="6"/>
  <c r="B88" i="6"/>
  <c r="C88" i="6"/>
  <c r="B90" i="6"/>
  <c r="C90" i="6"/>
  <c r="B91" i="6"/>
  <c r="C91" i="6"/>
  <c r="B93" i="6"/>
  <c r="B9" i="22" s="1"/>
  <c r="C93" i="6"/>
  <c r="I95" i="6"/>
  <c r="K95" i="6"/>
  <c r="P95" i="6"/>
  <c r="I96" i="6"/>
  <c r="K96" i="6"/>
  <c r="P96" i="6"/>
  <c r="B99" i="6"/>
  <c r="C99" i="6"/>
  <c r="B100" i="6"/>
  <c r="C100" i="6"/>
  <c r="B103" i="6"/>
  <c r="C103" i="6"/>
  <c r="B105" i="6"/>
  <c r="C105" i="6"/>
  <c r="C35" i="22" s="1"/>
  <c r="P105" i="6"/>
  <c r="O35" i="22" s="1"/>
  <c r="C113" i="6"/>
  <c r="C114" i="6"/>
  <c r="I114" i="6" s="1"/>
  <c r="B116" i="6"/>
  <c r="C116" i="6"/>
  <c r="B117" i="6"/>
  <c r="C117" i="6"/>
  <c r="C119" i="6"/>
  <c r="C10" i="6" s="1"/>
  <c r="O119" i="6"/>
  <c r="O10" i="6" s="1"/>
  <c r="P119" i="6"/>
  <c r="P10" i="6" s="1"/>
  <c r="C125" i="6"/>
  <c r="C126" i="6"/>
  <c r="I126" i="6" s="1"/>
  <c r="B128" i="6"/>
  <c r="C128" i="6"/>
  <c r="B129" i="6"/>
  <c r="C129" i="6"/>
  <c r="C131" i="6"/>
  <c r="C11" i="6" s="1"/>
  <c r="P131" i="6"/>
  <c r="P11" i="6" s="1"/>
  <c r="C137" i="6"/>
  <c r="I137" i="6" s="1"/>
  <c r="C138" i="6"/>
  <c r="C140" i="6"/>
  <c r="C141" i="6"/>
  <c r="C143" i="6"/>
  <c r="C12" i="6" s="1"/>
  <c r="O143" i="6"/>
  <c r="O12" i="6" s="1"/>
  <c r="P143" i="6"/>
  <c r="P12" i="6" s="1"/>
  <c r="C149" i="6"/>
  <c r="C150" i="6"/>
  <c r="I150" i="6" s="1"/>
  <c r="C152" i="6"/>
  <c r="C153" i="6"/>
  <c r="C155" i="6"/>
  <c r="C13" i="6" s="1"/>
  <c r="P155" i="6"/>
  <c r="P13" i="6" s="1"/>
  <c r="C161" i="6"/>
  <c r="C162" i="6"/>
  <c r="C164" i="6"/>
  <c r="C165" i="6"/>
  <c r="C167" i="6"/>
  <c r="C14" i="6" s="1"/>
  <c r="O167" i="6"/>
  <c r="O14" i="6" s="1"/>
  <c r="P167" i="6"/>
  <c r="P14" i="6" s="1"/>
  <c r="C173" i="6"/>
  <c r="C174" i="6"/>
  <c r="B176" i="6"/>
  <c r="C176" i="6"/>
  <c r="B177" i="6"/>
  <c r="C177" i="6"/>
  <c r="C179" i="6"/>
  <c r="C15" i="6" s="1"/>
  <c r="P179" i="6"/>
  <c r="P15" i="6" s="1"/>
  <c r="E184" i="6"/>
  <c r="B188" i="6"/>
  <c r="C188" i="6"/>
  <c r="B189" i="6"/>
  <c r="C189" i="6"/>
  <c r="C197" i="6"/>
  <c r="C198" i="6"/>
  <c r="I198" i="6" s="1"/>
  <c r="B200" i="6"/>
  <c r="C200" i="6"/>
  <c r="B201" i="6"/>
  <c r="C201" i="6"/>
  <c r="C203" i="6"/>
  <c r="C17" i="6" s="1"/>
  <c r="P203" i="6"/>
  <c r="P17" i="6" s="1"/>
  <c r="C209" i="6"/>
  <c r="C210" i="6"/>
  <c r="B212" i="6"/>
  <c r="C212" i="6"/>
  <c r="B213" i="6"/>
  <c r="C213" i="6"/>
  <c r="C215" i="6"/>
  <c r="C18" i="6" s="1"/>
  <c r="P215" i="6"/>
  <c r="P18" i="6" s="1"/>
  <c r="C221" i="6"/>
  <c r="C222" i="6"/>
  <c r="I222" i="6" s="1"/>
  <c r="B224" i="6"/>
  <c r="C224" i="6"/>
  <c r="B225" i="6"/>
  <c r="C225" i="6"/>
  <c r="C227" i="6"/>
  <c r="C19" i="6" s="1"/>
  <c r="P227" i="6"/>
  <c r="P19" i="6" s="1"/>
  <c r="C233" i="6"/>
  <c r="C234" i="6"/>
  <c r="B236" i="6"/>
  <c r="C236" i="6"/>
  <c r="B237" i="6"/>
  <c r="C237" i="6"/>
  <c r="C239" i="6"/>
  <c r="C20" i="6" s="1"/>
  <c r="O239" i="6"/>
  <c r="O20" i="6" s="1"/>
  <c r="P239" i="6"/>
  <c r="P20" i="6" s="1"/>
  <c r="C245" i="6"/>
  <c r="C246" i="6"/>
  <c r="I246" i="6" s="1"/>
  <c r="B248" i="6"/>
  <c r="C248" i="6"/>
  <c r="B249" i="6"/>
  <c r="C249" i="6"/>
  <c r="C251" i="6"/>
  <c r="C21" i="6" s="1"/>
  <c r="O251" i="6"/>
  <c r="O21" i="6" s="1"/>
  <c r="P251" i="6"/>
  <c r="P21" i="6" s="1"/>
  <c r="C257" i="6"/>
  <c r="I257" i="6" s="1"/>
  <c r="C258" i="6"/>
  <c r="B260" i="6"/>
  <c r="C260" i="6"/>
  <c r="B261" i="6"/>
  <c r="C261" i="6"/>
  <c r="C263" i="6"/>
  <c r="C22" i="6" s="1"/>
  <c r="P263" i="6"/>
  <c r="P22" i="6" s="1"/>
  <c r="C269" i="6"/>
  <c r="C270" i="6"/>
  <c r="I270" i="6" s="1"/>
  <c r="B272" i="6"/>
  <c r="C272" i="6"/>
  <c r="B273" i="6"/>
  <c r="C273" i="6"/>
  <c r="C275" i="6"/>
  <c r="C23" i="6" s="1"/>
  <c r="O275" i="6"/>
  <c r="O23" i="6" s="1"/>
  <c r="P275" i="6"/>
  <c r="P23" i="6" s="1"/>
  <c r="C281" i="6"/>
  <c r="C282" i="6"/>
  <c r="I282" i="6" s="1"/>
  <c r="B284" i="6"/>
  <c r="C284" i="6"/>
  <c r="B285" i="6"/>
  <c r="C285" i="6"/>
  <c r="C287" i="6"/>
  <c r="C24" i="6" s="1"/>
  <c r="O287" i="6"/>
  <c r="O24" i="6" s="1"/>
  <c r="P287" i="6"/>
  <c r="P24" i="6" s="1"/>
  <c r="C293" i="6"/>
  <c r="C294" i="6"/>
  <c r="I294" i="6" s="1"/>
  <c r="B296" i="6"/>
  <c r="C296" i="6"/>
  <c r="B297" i="6"/>
  <c r="C297" i="6"/>
  <c r="C299" i="6"/>
  <c r="C25" i="6" s="1"/>
  <c r="O299" i="6"/>
  <c r="O25" i="6" s="1"/>
  <c r="P299" i="6"/>
  <c r="P25" i="6" s="1"/>
  <c r="C305" i="6"/>
  <c r="C306" i="6"/>
  <c r="I306" i="6" s="1"/>
  <c r="B308" i="6"/>
  <c r="C308" i="6"/>
  <c r="B309" i="6"/>
  <c r="C309" i="6"/>
  <c r="C311" i="6"/>
  <c r="C26" i="6" s="1"/>
  <c r="O311" i="6"/>
  <c r="O26" i="6" s="1"/>
  <c r="P311" i="6"/>
  <c r="P26" i="6" s="1"/>
  <c r="C317" i="6"/>
  <c r="C318" i="6"/>
  <c r="I318" i="6" s="1"/>
  <c r="B320" i="6"/>
  <c r="C320" i="6"/>
  <c r="B321" i="6"/>
  <c r="C321" i="6"/>
  <c r="C323" i="6"/>
  <c r="C27" i="6" s="1"/>
  <c r="O323" i="6"/>
  <c r="O27" i="6" s="1"/>
  <c r="P323" i="6"/>
  <c r="P27" i="6" s="1"/>
  <c r="E328" i="6"/>
  <c r="F329" i="6" s="1"/>
  <c r="B332" i="6"/>
  <c r="C332" i="6"/>
  <c r="B333" i="6"/>
  <c r="C333" i="6"/>
  <c r="C341" i="6"/>
  <c r="C342" i="6"/>
  <c r="I342" i="6" s="1"/>
  <c r="B344" i="6"/>
  <c r="C344" i="6"/>
  <c r="B345" i="6"/>
  <c r="C345" i="6"/>
  <c r="C347" i="6"/>
  <c r="C29" i="6" s="1"/>
  <c r="O347" i="6"/>
  <c r="O29" i="6" s="1"/>
  <c r="P347" i="6"/>
  <c r="P29" i="6" s="1"/>
  <c r="S357" i="6"/>
  <c r="O359" i="6"/>
  <c r="O30" i="6" s="1"/>
  <c r="P359" i="6"/>
  <c r="P30" i="6" s="1"/>
  <c r="C365" i="6"/>
  <c r="C366" i="6"/>
  <c r="I366" i="6" s="1"/>
  <c r="B368" i="6"/>
  <c r="C368" i="6"/>
  <c r="B369" i="6"/>
  <c r="C369" i="6"/>
  <c r="C371" i="6"/>
  <c r="C31" i="6" s="1"/>
  <c r="O371" i="6"/>
  <c r="O31" i="6" s="1"/>
  <c r="P371" i="6"/>
  <c r="P31" i="6" s="1"/>
  <c r="C377" i="6"/>
  <c r="C378" i="6"/>
  <c r="I378" i="6" s="1"/>
  <c r="B380" i="6"/>
  <c r="C380" i="6"/>
  <c r="B381" i="6"/>
  <c r="C381" i="6"/>
  <c r="C383" i="6"/>
  <c r="C32" i="6" s="1"/>
  <c r="O383" i="6"/>
  <c r="O32" i="6" s="1"/>
  <c r="P383" i="6"/>
  <c r="P32" i="6" s="1"/>
  <c r="C389" i="6"/>
  <c r="C390" i="6"/>
  <c r="I390" i="6" s="1"/>
  <c r="B392" i="6"/>
  <c r="C392" i="6"/>
  <c r="B393" i="6"/>
  <c r="C393" i="6"/>
  <c r="C395" i="6"/>
  <c r="C33" i="6" s="1"/>
  <c r="O395" i="6"/>
  <c r="O33" i="6" s="1"/>
  <c r="P395" i="6"/>
  <c r="P33" i="6" s="1"/>
  <c r="C402" i="6"/>
  <c r="I402" i="6" s="1"/>
  <c r="B404" i="6"/>
  <c r="C404" i="6"/>
  <c r="B405" i="6"/>
  <c r="C405" i="6"/>
  <c r="C407" i="6"/>
  <c r="C34" i="6" s="1"/>
  <c r="O407" i="6"/>
  <c r="O34" i="6" s="1"/>
  <c r="P407" i="6"/>
  <c r="P34" i="6" s="1"/>
  <c r="C413" i="6"/>
  <c r="C414" i="6"/>
  <c r="I414" i="6" s="1"/>
  <c r="B416" i="6"/>
  <c r="C416" i="6"/>
  <c r="I416" i="6" s="1"/>
  <c r="L416" i="6" s="1"/>
  <c r="N416" i="6" s="1"/>
  <c r="Q416" i="6" s="1"/>
  <c r="B417" i="6"/>
  <c r="C417" i="6"/>
  <c r="C419" i="6"/>
  <c r="C35" i="6" s="1"/>
  <c r="O419" i="6"/>
  <c r="O35" i="6" s="1"/>
  <c r="P419" i="6"/>
  <c r="P35" i="6" s="1"/>
  <c r="D83" i="5"/>
  <c r="D90" i="5" s="1"/>
  <c r="D8" i="5" s="1"/>
  <c r="B135" i="5"/>
  <c r="B10" i="5" s="1"/>
  <c r="D135" i="5"/>
  <c r="D10" i="5" s="1"/>
  <c r="B147" i="5"/>
  <c r="B11" i="5" s="1"/>
  <c r="D147" i="5"/>
  <c r="D11" i="5" s="1"/>
  <c r="J147" i="5"/>
  <c r="J11" i="5" s="1"/>
  <c r="N140" i="5"/>
  <c r="Q140" i="5" s="1"/>
  <c r="B160" i="5"/>
  <c r="B12" i="5" s="1"/>
  <c r="D12" i="5"/>
  <c r="B172" i="5"/>
  <c r="B13" i="5" s="1"/>
  <c r="D172" i="5"/>
  <c r="D13" i="5" s="1"/>
  <c r="B186" i="5"/>
  <c r="D186" i="5"/>
  <c r="D14" i="5" s="1"/>
  <c r="B198" i="5"/>
  <c r="B15" i="5" s="1"/>
  <c r="D198" i="5"/>
  <c r="D15" i="5" s="1"/>
  <c r="B210" i="5"/>
  <c r="B16" i="5" s="1"/>
  <c r="D210" i="5"/>
  <c r="D16" i="5" s="1"/>
  <c r="B222" i="5"/>
  <c r="B17" i="5" s="1"/>
  <c r="D222" i="5"/>
  <c r="D17" i="5" s="1"/>
  <c r="B234" i="5"/>
  <c r="B18" i="5" s="1"/>
  <c r="D234" i="5"/>
  <c r="D18" i="5" s="1"/>
  <c r="B246" i="5"/>
  <c r="B19" i="5" s="1"/>
  <c r="D246" i="5"/>
  <c r="D19" i="5" s="1"/>
  <c r="B258" i="5"/>
  <c r="B20" i="5" s="1"/>
  <c r="D258" i="5"/>
  <c r="D20" i="5" s="1"/>
  <c r="B270" i="5"/>
  <c r="B21" i="5" s="1"/>
  <c r="D270" i="5"/>
  <c r="D21" i="5" s="1"/>
  <c r="B282" i="5"/>
  <c r="B22" i="5" s="1"/>
  <c r="D282" i="5"/>
  <c r="D22" i="5" s="1"/>
  <c r="B294" i="5"/>
  <c r="B23" i="5" s="1"/>
  <c r="D294" i="5"/>
  <c r="D23" i="5" s="1"/>
  <c r="P23" i="5"/>
  <c r="B306" i="5"/>
  <c r="B24" i="5" s="1"/>
  <c r="D306" i="5"/>
  <c r="D24" i="5" s="1"/>
  <c r="B318" i="5"/>
  <c r="B25" i="5" s="1"/>
  <c r="D318" i="5"/>
  <c r="D25" i="5" s="1"/>
  <c r="B330" i="5"/>
  <c r="B26" i="5" s="1"/>
  <c r="D330" i="5"/>
  <c r="D26" i="5" s="1"/>
  <c r="B342" i="5"/>
  <c r="B27" i="5" s="1"/>
  <c r="D342" i="5"/>
  <c r="D27" i="5" s="1"/>
  <c r="B355" i="5"/>
  <c r="B28" i="5" s="1"/>
  <c r="D355" i="5"/>
  <c r="D28" i="5" s="1"/>
  <c r="B367" i="5"/>
  <c r="B29" i="5" s="1"/>
  <c r="D367" i="5"/>
  <c r="D29" i="5" s="1"/>
  <c r="D379" i="5"/>
  <c r="D30" i="5" s="1"/>
  <c r="B391" i="5"/>
  <c r="B31" i="5" s="1"/>
  <c r="D391" i="5"/>
  <c r="D31" i="5" s="1"/>
  <c r="B415" i="5"/>
  <c r="B33" i="5" s="1"/>
  <c r="D415" i="5"/>
  <c r="B427" i="5"/>
  <c r="D427" i="5"/>
  <c r="D34" i="5" s="1"/>
  <c r="D439" i="5"/>
  <c r="D35" i="5" s="1"/>
  <c r="B451" i="5"/>
  <c r="B36" i="5" s="1"/>
  <c r="D451" i="5"/>
  <c r="D36" i="5" s="1"/>
  <c r="B463" i="5"/>
  <c r="B37" i="5" s="1"/>
  <c r="D463" i="5"/>
  <c r="D37" i="5" s="1"/>
  <c r="D475" i="5"/>
  <c r="D38" i="5" s="1"/>
  <c r="D487" i="5"/>
  <c r="D39" i="5" s="1"/>
  <c r="B499" i="5"/>
  <c r="B40" i="5" s="1"/>
  <c r="D499" i="5"/>
  <c r="D40" i="5" s="1"/>
  <c r="P40" i="5"/>
  <c r="B511" i="5"/>
  <c r="B41" i="5" s="1"/>
  <c r="D511" i="5"/>
  <c r="D41" i="5" s="1"/>
  <c r="B523" i="5"/>
  <c r="B42" i="5" s="1"/>
  <c r="D523" i="5"/>
  <c r="D42" i="5" s="1"/>
  <c r="B535" i="5"/>
  <c r="B43" i="5" s="1"/>
  <c r="D535" i="5"/>
  <c r="D43" i="5" s="1"/>
  <c r="D547" i="5"/>
  <c r="D44" i="5" s="1"/>
  <c r="D559" i="5"/>
  <c r="D45" i="5" s="1"/>
  <c r="B571" i="5"/>
  <c r="B46" i="5" s="1"/>
  <c r="D46" i="5"/>
  <c r="B583" i="5"/>
  <c r="B47" i="5" s="1"/>
  <c r="C583" i="5"/>
  <c r="C47" i="5" s="1"/>
  <c r="D583" i="5"/>
  <c r="D47" i="5" s="1"/>
  <c r="B595" i="5"/>
  <c r="B48" i="5" s="1"/>
  <c r="D595" i="5"/>
  <c r="D48" i="5" s="1"/>
  <c r="B607" i="5"/>
  <c r="B49" i="5" s="1"/>
  <c r="D607" i="5"/>
  <c r="D49" i="5" s="1"/>
  <c r="D619" i="5"/>
  <c r="D50" i="5" s="1"/>
  <c r="B60" i="5"/>
  <c r="C60" i="5"/>
  <c r="B61" i="5"/>
  <c r="C61" i="5"/>
  <c r="I61" i="5" s="1"/>
  <c r="B63" i="5"/>
  <c r="C63" i="5"/>
  <c r="B64" i="5"/>
  <c r="C64" i="5"/>
  <c r="B66" i="5"/>
  <c r="B7" i="5" s="1"/>
  <c r="C66" i="5"/>
  <c r="C7" i="5" s="1"/>
  <c r="P66" i="5"/>
  <c r="O21" i="21" s="1"/>
  <c r="L73" i="5"/>
  <c r="N73" i="5" s="1"/>
  <c r="Q73" i="5" s="1"/>
  <c r="L74" i="5"/>
  <c r="N74" i="5" s="1"/>
  <c r="Q74" i="5" s="1"/>
  <c r="L75" i="5"/>
  <c r="N75" i="5" s="1"/>
  <c r="Q75" i="5" s="1"/>
  <c r="L76" i="5"/>
  <c r="N76" i="5" s="1"/>
  <c r="Q76" i="5" s="1"/>
  <c r="L77" i="5"/>
  <c r="N77" i="5" s="1"/>
  <c r="Q77" i="5" s="1"/>
  <c r="L78" i="5"/>
  <c r="N78" i="5" s="1"/>
  <c r="Q78" i="5" s="1"/>
  <c r="C83" i="5"/>
  <c r="C84" i="5" s="1"/>
  <c r="O83" i="5"/>
  <c r="O90" i="5" s="1"/>
  <c r="O8" i="5" s="1"/>
  <c r="P83" i="5"/>
  <c r="P90" i="5" s="1"/>
  <c r="P8" i="5" s="1"/>
  <c r="B103" i="5"/>
  <c r="C103" i="5"/>
  <c r="B104" i="5"/>
  <c r="C104" i="5"/>
  <c r="I104" i="5" s="1"/>
  <c r="B106" i="5"/>
  <c r="C106" i="5"/>
  <c r="B107" i="5"/>
  <c r="C107" i="5"/>
  <c r="B109" i="5"/>
  <c r="B8" i="22" s="1"/>
  <c r="C109" i="5"/>
  <c r="G111" i="5"/>
  <c r="H111" i="5"/>
  <c r="I111" i="5"/>
  <c r="J111" i="5"/>
  <c r="K111" i="5"/>
  <c r="M111" i="5"/>
  <c r="O111" i="5"/>
  <c r="P111" i="5"/>
  <c r="I112" i="5"/>
  <c r="I113" i="5"/>
  <c r="K113" i="5"/>
  <c r="B115" i="5"/>
  <c r="B116" i="5" s="1"/>
  <c r="C115" i="5"/>
  <c r="C116" i="5" s="1"/>
  <c r="I116" i="5" s="1"/>
  <c r="C119" i="5"/>
  <c r="B119" i="5"/>
  <c r="B121" i="5"/>
  <c r="B34" i="22" s="1"/>
  <c r="C121" i="5"/>
  <c r="C34" i="22" s="1"/>
  <c r="F135" i="5"/>
  <c r="C129" i="5"/>
  <c r="C130" i="5"/>
  <c r="I130" i="5" s="1"/>
  <c r="B132" i="5"/>
  <c r="C132" i="5"/>
  <c r="B133" i="5"/>
  <c r="C133" i="5"/>
  <c r="C135" i="5"/>
  <c r="C10" i="5" s="1"/>
  <c r="P135" i="5"/>
  <c r="P10" i="5" s="1"/>
  <c r="C141" i="5"/>
  <c r="C142" i="5"/>
  <c r="B144" i="5"/>
  <c r="C144" i="5"/>
  <c r="B145" i="5"/>
  <c r="C145" i="5"/>
  <c r="C147" i="5"/>
  <c r="C11" i="5" s="1"/>
  <c r="P147" i="5"/>
  <c r="P11" i="5" s="1"/>
  <c r="C154" i="5"/>
  <c r="C155" i="5"/>
  <c r="I155" i="5" s="1"/>
  <c r="B157" i="5"/>
  <c r="C157" i="5"/>
  <c r="B158" i="5"/>
  <c r="C158" i="5"/>
  <c r="C160" i="5"/>
  <c r="C12" i="5" s="1"/>
  <c r="P160" i="5"/>
  <c r="P12" i="5" s="1"/>
  <c r="C166" i="5"/>
  <c r="C167" i="5"/>
  <c r="I167" i="5" s="1"/>
  <c r="B169" i="5"/>
  <c r="C169" i="5"/>
  <c r="B170" i="5"/>
  <c r="C170" i="5"/>
  <c r="C172" i="5"/>
  <c r="C13" i="5" s="1"/>
  <c r="P172" i="5"/>
  <c r="P13" i="5" s="1"/>
  <c r="C180" i="5"/>
  <c r="C181" i="5"/>
  <c r="I181" i="5" s="1"/>
  <c r="B183" i="5"/>
  <c r="C183" i="5"/>
  <c r="B184" i="5"/>
  <c r="C184" i="5"/>
  <c r="C186" i="5"/>
  <c r="C14" i="5" s="1"/>
  <c r="P186" i="5"/>
  <c r="P14" i="5" s="1"/>
  <c r="C192" i="5"/>
  <c r="C193" i="5"/>
  <c r="B195" i="5"/>
  <c r="C195" i="5"/>
  <c r="B196" i="5"/>
  <c r="C196" i="5"/>
  <c r="C198" i="5"/>
  <c r="C15" i="5" s="1"/>
  <c r="O198" i="5"/>
  <c r="O15" i="5" s="1"/>
  <c r="P198" i="5"/>
  <c r="P15" i="5" s="1"/>
  <c r="C204" i="5"/>
  <c r="C205" i="5"/>
  <c r="B207" i="5"/>
  <c r="C207" i="5"/>
  <c r="B208" i="5"/>
  <c r="C208" i="5"/>
  <c r="C210" i="5"/>
  <c r="C16" i="5" s="1"/>
  <c r="O210" i="5"/>
  <c r="O16" i="5" s="1"/>
  <c r="P210" i="5"/>
  <c r="P16" i="5" s="1"/>
  <c r="C216" i="5"/>
  <c r="C217" i="5"/>
  <c r="B219" i="5"/>
  <c r="C219" i="5"/>
  <c r="B220" i="5"/>
  <c r="C220" i="5"/>
  <c r="C222" i="5"/>
  <c r="C17" i="5" s="1"/>
  <c r="O222" i="5"/>
  <c r="O17" i="5" s="1"/>
  <c r="P222" i="5"/>
  <c r="P17" i="5" s="1"/>
  <c r="C228" i="5"/>
  <c r="C229" i="5"/>
  <c r="I229" i="5" s="1"/>
  <c r="B231" i="5"/>
  <c r="C231" i="5"/>
  <c r="B232" i="5"/>
  <c r="C232" i="5"/>
  <c r="C234" i="5"/>
  <c r="C18" i="5" s="1"/>
  <c r="O234" i="5"/>
  <c r="O18" i="5" s="1"/>
  <c r="P234" i="5"/>
  <c r="P18" i="5" s="1"/>
  <c r="C240" i="5"/>
  <c r="C241" i="5"/>
  <c r="I241" i="5" s="1"/>
  <c r="B244" i="5"/>
  <c r="C244" i="5"/>
  <c r="C246" i="5"/>
  <c r="C19" i="5" s="1"/>
  <c r="O246" i="5"/>
  <c r="O19" i="5" s="1"/>
  <c r="P246" i="5"/>
  <c r="P19" i="5" s="1"/>
  <c r="C252" i="5"/>
  <c r="C253" i="5"/>
  <c r="B255" i="5"/>
  <c r="C255" i="5"/>
  <c r="B256" i="5"/>
  <c r="C256" i="5"/>
  <c r="C258" i="5"/>
  <c r="C20" i="5" s="1"/>
  <c r="O258" i="5"/>
  <c r="O20" i="5" s="1"/>
  <c r="P258" i="5"/>
  <c r="P20" i="5" s="1"/>
  <c r="C264" i="5"/>
  <c r="C265" i="5"/>
  <c r="I265" i="5" s="1"/>
  <c r="B267" i="5"/>
  <c r="C267" i="5"/>
  <c r="B268" i="5"/>
  <c r="C268" i="5"/>
  <c r="C270" i="5"/>
  <c r="C21" i="5" s="1"/>
  <c r="O270" i="5"/>
  <c r="O21" i="5" s="1"/>
  <c r="P270" i="5"/>
  <c r="P21" i="5" s="1"/>
  <c r="C276" i="5"/>
  <c r="C277" i="5"/>
  <c r="I277" i="5" s="1"/>
  <c r="B279" i="5"/>
  <c r="C279" i="5"/>
  <c r="B280" i="5"/>
  <c r="C280" i="5"/>
  <c r="C282" i="5"/>
  <c r="C22" i="5" s="1"/>
  <c r="O282" i="5"/>
  <c r="O22" i="5" s="1"/>
  <c r="P282" i="5"/>
  <c r="P22" i="5" s="1"/>
  <c r="C288" i="5"/>
  <c r="G288" i="5" s="1"/>
  <c r="G294" i="5" s="1"/>
  <c r="G23" i="5" s="1"/>
  <c r="C289" i="5"/>
  <c r="I289" i="5" s="1"/>
  <c r="B291" i="5"/>
  <c r="C291" i="5"/>
  <c r="B292" i="5"/>
  <c r="C292" i="5"/>
  <c r="C294" i="5"/>
  <c r="C23" i="5" s="1"/>
  <c r="O294" i="5"/>
  <c r="O23" i="5" s="1"/>
  <c r="C300" i="5"/>
  <c r="C301" i="5"/>
  <c r="B303" i="5"/>
  <c r="C303" i="5"/>
  <c r="B304" i="5"/>
  <c r="C304" i="5"/>
  <c r="C306" i="5"/>
  <c r="C24" i="5" s="1"/>
  <c r="O306" i="5"/>
  <c r="O24" i="5" s="1"/>
  <c r="P306" i="5"/>
  <c r="P24" i="5" s="1"/>
  <c r="C312" i="5"/>
  <c r="C313" i="5"/>
  <c r="I313" i="5" s="1"/>
  <c r="B315" i="5"/>
  <c r="C315" i="5"/>
  <c r="B316" i="5"/>
  <c r="C316" i="5"/>
  <c r="C318" i="5"/>
  <c r="C25" i="5" s="1"/>
  <c r="O318" i="5"/>
  <c r="O25" i="5" s="1"/>
  <c r="P318" i="5"/>
  <c r="P25" i="5" s="1"/>
  <c r="C324" i="5"/>
  <c r="C325" i="5"/>
  <c r="I325" i="5" s="1"/>
  <c r="B328" i="5"/>
  <c r="C328" i="5"/>
  <c r="C330" i="5"/>
  <c r="C26" i="5" s="1"/>
  <c r="O330" i="5"/>
  <c r="O26" i="5" s="1"/>
  <c r="P330" i="5"/>
  <c r="P26" i="5" s="1"/>
  <c r="C336" i="5"/>
  <c r="C337" i="5"/>
  <c r="B339" i="5"/>
  <c r="C339" i="5"/>
  <c r="B340" i="5"/>
  <c r="C340" i="5"/>
  <c r="C342" i="5"/>
  <c r="C27" i="5" s="1"/>
  <c r="O342" i="5"/>
  <c r="O27" i="5" s="1"/>
  <c r="P342" i="5"/>
  <c r="P27" i="5" s="1"/>
  <c r="C349" i="5"/>
  <c r="C350" i="5"/>
  <c r="B352" i="5"/>
  <c r="C352" i="5"/>
  <c r="B353" i="5"/>
  <c r="C353" i="5"/>
  <c r="C355" i="5"/>
  <c r="C28" i="5" s="1"/>
  <c r="O355" i="5"/>
  <c r="O28" i="5" s="1"/>
  <c r="P355" i="5"/>
  <c r="P28" i="5" s="1"/>
  <c r="C361" i="5"/>
  <c r="C362" i="5"/>
  <c r="B364" i="5"/>
  <c r="C364" i="5"/>
  <c r="B365" i="5"/>
  <c r="C365" i="5"/>
  <c r="C367" i="5"/>
  <c r="C29" i="5" s="1"/>
  <c r="P367" i="5"/>
  <c r="P29" i="5" s="1"/>
  <c r="E372" i="5"/>
  <c r="B373" i="5"/>
  <c r="C373" i="5"/>
  <c r="B374" i="5"/>
  <c r="C374" i="5"/>
  <c r="B376" i="5"/>
  <c r="C376" i="5"/>
  <c r="Q376" i="5"/>
  <c r="B377" i="5"/>
  <c r="C377" i="5"/>
  <c r="L377" i="5"/>
  <c r="N377" i="5" s="1"/>
  <c r="Q377" i="5" s="1"/>
  <c r="B379" i="5"/>
  <c r="B30" i="5" s="1"/>
  <c r="C379" i="5"/>
  <c r="C30" i="5" s="1"/>
  <c r="O379" i="5"/>
  <c r="O30" i="5" s="1"/>
  <c r="P379" i="5"/>
  <c r="P30" i="5" s="1"/>
  <c r="C385" i="5"/>
  <c r="C386" i="5"/>
  <c r="B388" i="5"/>
  <c r="C388" i="5"/>
  <c r="B389" i="5"/>
  <c r="C389" i="5"/>
  <c r="C391" i="5"/>
  <c r="C31" i="5" s="1"/>
  <c r="O391" i="5"/>
  <c r="O31" i="5" s="1"/>
  <c r="P391" i="5"/>
  <c r="P31" i="5" s="1"/>
  <c r="E396" i="5"/>
  <c r="F397" i="5" s="1"/>
  <c r="N396" i="5"/>
  <c r="B397" i="5"/>
  <c r="C397" i="5"/>
  <c r="B398" i="5"/>
  <c r="C398" i="5"/>
  <c r="I398" i="5" s="1"/>
  <c r="B400" i="5"/>
  <c r="C400" i="5"/>
  <c r="L400" i="5"/>
  <c r="N400" i="5" s="1"/>
  <c r="Q400" i="5" s="1"/>
  <c r="B401" i="5"/>
  <c r="C401" i="5"/>
  <c r="L401" i="5"/>
  <c r="N401" i="5" s="1"/>
  <c r="Q401" i="5" s="1"/>
  <c r="B403" i="5"/>
  <c r="B32" i="5" s="1"/>
  <c r="C403" i="5"/>
  <c r="C32" i="5" s="1"/>
  <c r="D403" i="5"/>
  <c r="D32" i="5" s="1"/>
  <c r="J403" i="5"/>
  <c r="J32" i="5" s="1"/>
  <c r="K403" i="5"/>
  <c r="K32" i="5" s="1"/>
  <c r="M403" i="5"/>
  <c r="M32" i="5" s="1"/>
  <c r="O403" i="5"/>
  <c r="O32" i="5" s="1"/>
  <c r="P403" i="5"/>
  <c r="P32" i="5" s="1"/>
  <c r="C409" i="5"/>
  <c r="C410" i="5"/>
  <c r="I410" i="5" s="1"/>
  <c r="B412" i="5"/>
  <c r="C412" i="5"/>
  <c r="B413" i="5"/>
  <c r="C413" i="5"/>
  <c r="C415" i="5"/>
  <c r="C33" i="5" s="1"/>
  <c r="O415" i="5"/>
  <c r="O33" i="5" s="1"/>
  <c r="P415" i="5"/>
  <c r="P33" i="5" s="1"/>
  <c r="C421" i="5"/>
  <c r="C422" i="5"/>
  <c r="B424" i="5"/>
  <c r="C424" i="5"/>
  <c r="B425" i="5"/>
  <c r="C425" i="5"/>
  <c r="C427" i="5"/>
  <c r="C34" i="5" s="1"/>
  <c r="P427" i="5"/>
  <c r="P34" i="5" s="1"/>
  <c r="F439" i="5"/>
  <c r="B433" i="5"/>
  <c r="C433" i="5"/>
  <c r="B434" i="5"/>
  <c r="C434" i="5"/>
  <c r="I434" i="5" s="1"/>
  <c r="B436" i="5"/>
  <c r="C436" i="5"/>
  <c r="L436" i="5"/>
  <c r="N436" i="5" s="1"/>
  <c r="Q436" i="5" s="1"/>
  <c r="B437" i="5"/>
  <c r="C437" i="5"/>
  <c r="L437" i="5"/>
  <c r="N437" i="5" s="1"/>
  <c r="Q437" i="5" s="1"/>
  <c r="B439" i="5"/>
  <c r="B35" i="5" s="1"/>
  <c r="C439" i="5"/>
  <c r="C35" i="5" s="1"/>
  <c r="O439" i="5"/>
  <c r="O35" i="5" s="1"/>
  <c r="P439" i="5"/>
  <c r="P35" i="5" s="1"/>
  <c r="C445" i="5"/>
  <c r="C446" i="5"/>
  <c r="I446" i="5" s="1"/>
  <c r="B448" i="5"/>
  <c r="C448" i="5"/>
  <c r="B449" i="5"/>
  <c r="C449" i="5"/>
  <c r="C451" i="5"/>
  <c r="C36" i="5" s="1"/>
  <c r="O451" i="5"/>
  <c r="O36" i="5" s="1"/>
  <c r="P451" i="5"/>
  <c r="P36" i="5" s="1"/>
  <c r="C457" i="5"/>
  <c r="C458" i="5"/>
  <c r="I458" i="5" s="1"/>
  <c r="B460" i="5"/>
  <c r="C460" i="5"/>
  <c r="B461" i="5"/>
  <c r="C461" i="5"/>
  <c r="C463" i="5"/>
  <c r="C37" i="5" s="1"/>
  <c r="P463" i="5"/>
  <c r="P37" i="5" s="1"/>
  <c r="C469" i="5"/>
  <c r="C470" i="5"/>
  <c r="I470" i="5" s="1"/>
  <c r="B473" i="5"/>
  <c r="C473" i="5"/>
  <c r="C475" i="5"/>
  <c r="C38" i="5" s="1"/>
  <c r="P475" i="5"/>
  <c r="P38" i="5" s="1"/>
  <c r="C481" i="5"/>
  <c r="I481" i="5" s="1"/>
  <c r="C482" i="5"/>
  <c r="I482" i="5" s="1"/>
  <c r="B484" i="5"/>
  <c r="C484" i="5"/>
  <c r="B485" i="5"/>
  <c r="C485" i="5"/>
  <c r="C487" i="5"/>
  <c r="C39" i="5" s="1"/>
  <c r="P487" i="5"/>
  <c r="P39" i="5" s="1"/>
  <c r="C493" i="5"/>
  <c r="I493" i="5" s="1"/>
  <c r="C494" i="5"/>
  <c r="B496" i="5"/>
  <c r="C496" i="5"/>
  <c r="B497" i="5"/>
  <c r="C497" i="5"/>
  <c r="C499" i="5"/>
  <c r="C40" i="5" s="1"/>
  <c r="O499" i="5"/>
  <c r="O40" i="5" s="1"/>
  <c r="C505" i="5"/>
  <c r="C506" i="5"/>
  <c r="B508" i="5"/>
  <c r="C508" i="5"/>
  <c r="B509" i="5"/>
  <c r="C509" i="5"/>
  <c r="C511" i="5"/>
  <c r="C41" i="5" s="1"/>
  <c r="P511" i="5"/>
  <c r="P41" i="5" s="1"/>
  <c r="C517" i="5"/>
  <c r="C518" i="5"/>
  <c r="I518" i="5" s="1"/>
  <c r="B520" i="5"/>
  <c r="C520" i="5"/>
  <c r="B521" i="5"/>
  <c r="C521" i="5"/>
  <c r="C523" i="5"/>
  <c r="C42" i="5" s="1"/>
  <c r="O523" i="5"/>
  <c r="O42" i="5" s="1"/>
  <c r="P523" i="5"/>
  <c r="P42" i="5" s="1"/>
  <c r="C529" i="5"/>
  <c r="C530" i="5"/>
  <c r="B532" i="5"/>
  <c r="C532" i="5"/>
  <c r="B533" i="5"/>
  <c r="C533" i="5"/>
  <c r="C535" i="5"/>
  <c r="C43" i="5" s="1"/>
  <c r="P535" i="5"/>
  <c r="P43" i="5" s="1"/>
  <c r="B541" i="5"/>
  <c r="C541" i="5"/>
  <c r="I541" i="5" s="1"/>
  <c r="B542" i="5"/>
  <c r="C542" i="5"/>
  <c r="I542" i="5" s="1"/>
  <c r="B544" i="5"/>
  <c r="C544" i="5"/>
  <c r="L544" i="5"/>
  <c r="N544" i="5" s="1"/>
  <c r="Q544" i="5" s="1"/>
  <c r="B545" i="5"/>
  <c r="C545" i="5"/>
  <c r="L545" i="5"/>
  <c r="N545" i="5" s="1"/>
  <c r="Q545" i="5" s="1"/>
  <c r="B547" i="5"/>
  <c r="B44" i="5" s="1"/>
  <c r="C547" i="5"/>
  <c r="C44" i="5" s="1"/>
  <c r="O547" i="5"/>
  <c r="O44" i="5" s="1"/>
  <c r="P547" i="5"/>
  <c r="P44" i="5" s="1"/>
  <c r="F559" i="5"/>
  <c r="B553" i="5"/>
  <c r="C553" i="5"/>
  <c r="B554" i="5"/>
  <c r="C554" i="5"/>
  <c r="I554" i="5" s="1"/>
  <c r="B556" i="5"/>
  <c r="C556" i="5"/>
  <c r="L556" i="5"/>
  <c r="N556" i="5" s="1"/>
  <c r="Q556" i="5" s="1"/>
  <c r="B557" i="5"/>
  <c r="C557" i="5"/>
  <c r="L557" i="5"/>
  <c r="N557" i="5" s="1"/>
  <c r="Q557" i="5" s="1"/>
  <c r="B559" i="5"/>
  <c r="B45" i="5" s="1"/>
  <c r="C559" i="5"/>
  <c r="C45" i="5" s="1"/>
  <c r="O559" i="5"/>
  <c r="O45" i="5" s="1"/>
  <c r="P559" i="5"/>
  <c r="P45" i="5" s="1"/>
  <c r="C565" i="5"/>
  <c r="C566" i="5"/>
  <c r="I566" i="5" s="1"/>
  <c r="B569" i="5"/>
  <c r="C569" i="5"/>
  <c r="C571" i="5"/>
  <c r="C46" i="5" s="1"/>
  <c r="O571" i="5"/>
  <c r="O46" i="5" s="1"/>
  <c r="P571" i="5"/>
  <c r="P46" i="5" s="1"/>
  <c r="E576" i="5"/>
  <c r="B580" i="5"/>
  <c r="C580" i="5"/>
  <c r="B581" i="5"/>
  <c r="C581" i="5"/>
  <c r="C589" i="5"/>
  <c r="C590" i="5"/>
  <c r="B592" i="5"/>
  <c r="C592" i="5"/>
  <c r="B593" i="5"/>
  <c r="C593" i="5"/>
  <c r="C595" i="5"/>
  <c r="C48" i="5" s="1"/>
  <c r="P595" i="5"/>
  <c r="P48" i="5" s="1"/>
  <c r="C601" i="5"/>
  <c r="C602" i="5"/>
  <c r="B604" i="5"/>
  <c r="C604" i="5"/>
  <c r="B605" i="5"/>
  <c r="C605" i="5"/>
  <c r="C607" i="5"/>
  <c r="C49" i="5" s="1"/>
  <c r="P607" i="5"/>
  <c r="P49" i="5" s="1"/>
  <c r="B613" i="5"/>
  <c r="C613" i="5"/>
  <c r="B614" i="5"/>
  <c r="C614" i="5"/>
  <c r="I614" i="5" s="1"/>
  <c r="B616" i="5"/>
  <c r="C616" i="5"/>
  <c r="L616" i="5"/>
  <c r="N616" i="5" s="1"/>
  <c r="Q616" i="5" s="1"/>
  <c r="B617" i="5"/>
  <c r="C617" i="5"/>
  <c r="L617" i="5"/>
  <c r="N617" i="5" s="1"/>
  <c r="Q617" i="5" s="1"/>
  <c r="B619" i="5"/>
  <c r="B50" i="5" s="1"/>
  <c r="C619" i="5"/>
  <c r="C50" i="5" s="1"/>
  <c r="O619" i="5"/>
  <c r="O50" i="5" s="1"/>
  <c r="P619" i="5"/>
  <c r="P50" i="5" s="1"/>
  <c r="D44" i="4"/>
  <c r="D51" i="4" s="1"/>
  <c r="D8" i="4" s="1"/>
  <c r="F44" i="4"/>
  <c r="B96" i="4"/>
  <c r="B10" i="4" s="1"/>
  <c r="D96" i="4"/>
  <c r="D10" i="4" s="1"/>
  <c r="F96" i="4"/>
  <c r="F10" i="4" s="1"/>
  <c r="B108" i="4"/>
  <c r="B11" i="4" s="1"/>
  <c r="D108" i="4"/>
  <c r="D11" i="4" s="1"/>
  <c r="D120" i="4"/>
  <c r="D12" i="4" s="1"/>
  <c r="G17" i="4"/>
  <c r="F26" i="4"/>
  <c r="F7" i="4" s="1"/>
  <c r="F14" i="4" s="1"/>
  <c r="E5" i="20" s="1"/>
  <c r="B20" i="4"/>
  <c r="C20" i="4"/>
  <c r="B21" i="4"/>
  <c r="H21" i="4" s="1"/>
  <c r="L21" i="4" s="1"/>
  <c r="N21" i="4" s="1"/>
  <c r="Q21" i="4" s="1"/>
  <c r="C21" i="4"/>
  <c r="B23" i="4"/>
  <c r="C23" i="4"/>
  <c r="B24" i="4"/>
  <c r="C24" i="4"/>
  <c r="B26" i="4"/>
  <c r="B7" i="4" s="1"/>
  <c r="C26" i="4"/>
  <c r="C7" i="4" s="1"/>
  <c r="O26" i="4"/>
  <c r="N20" i="21" s="1"/>
  <c r="P26" i="4"/>
  <c r="P7" i="4" s="1"/>
  <c r="O44" i="4"/>
  <c r="O51" i="4" s="1"/>
  <c r="O8" i="4" s="1"/>
  <c r="P44" i="4"/>
  <c r="P51" i="4" s="1"/>
  <c r="P8" i="4" s="1"/>
  <c r="F55" i="4"/>
  <c r="B64" i="4"/>
  <c r="C64" i="4"/>
  <c r="B65" i="4"/>
  <c r="C65" i="4"/>
  <c r="I65" i="4" s="1"/>
  <c r="B68" i="4"/>
  <c r="C68" i="4"/>
  <c r="B70" i="4"/>
  <c r="B7" i="22" s="1"/>
  <c r="C70" i="4"/>
  <c r="O70" i="4"/>
  <c r="I72" i="4"/>
  <c r="O72" i="4"/>
  <c r="I73" i="4"/>
  <c r="K73" i="4"/>
  <c r="O73" i="4"/>
  <c r="I77" i="4"/>
  <c r="B80" i="4"/>
  <c r="C33" i="22"/>
  <c r="O82" i="4"/>
  <c r="N33" i="22" s="1"/>
  <c r="C90" i="4"/>
  <c r="I90" i="4" s="1"/>
  <c r="C91" i="4"/>
  <c r="B93" i="4"/>
  <c r="C93" i="4"/>
  <c r="B94" i="4"/>
  <c r="C94" i="4"/>
  <c r="C96" i="4"/>
  <c r="C10" i="4" s="1"/>
  <c r="O96" i="4"/>
  <c r="O10" i="4" s="1"/>
  <c r="P96" i="4"/>
  <c r="P10" i="4" s="1"/>
  <c r="C102" i="4"/>
  <c r="I102" i="4" s="1"/>
  <c r="C103" i="4"/>
  <c r="I103" i="4" s="1"/>
  <c r="B105" i="4"/>
  <c r="C105" i="4"/>
  <c r="B106" i="4"/>
  <c r="C106" i="4"/>
  <c r="C108" i="4"/>
  <c r="C11" i="4" s="1"/>
  <c r="O108" i="4"/>
  <c r="O11" i="4" s="1"/>
  <c r="P108" i="4"/>
  <c r="P11" i="4" s="1"/>
  <c r="B114" i="4"/>
  <c r="C114" i="4"/>
  <c r="B115" i="4"/>
  <c r="H115" i="4" s="1"/>
  <c r="C115" i="4"/>
  <c r="I115" i="4" s="1"/>
  <c r="B117" i="4"/>
  <c r="C117" i="4"/>
  <c r="B118" i="4"/>
  <c r="C118" i="4"/>
  <c r="B120" i="4"/>
  <c r="B12" i="4" s="1"/>
  <c r="C120" i="4"/>
  <c r="C12" i="4" s="1"/>
  <c r="O120" i="4"/>
  <c r="O12" i="4" s="1"/>
  <c r="P120" i="4"/>
  <c r="P12" i="4" s="1"/>
  <c r="D40" i="3"/>
  <c r="D47" i="3" s="1"/>
  <c r="D8" i="3" s="1"/>
  <c r="F40" i="3"/>
  <c r="B92" i="3"/>
  <c r="B10" i="3" s="1"/>
  <c r="D92" i="3"/>
  <c r="D10" i="3" s="1"/>
  <c r="F92" i="3"/>
  <c r="F10" i="3" s="1"/>
  <c r="D104" i="3"/>
  <c r="D11" i="3" s="1"/>
  <c r="F104" i="3"/>
  <c r="B116" i="3"/>
  <c r="B12" i="3" s="1"/>
  <c r="D116" i="3"/>
  <c r="D12" i="3" s="1"/>
  <c r="F116" i="3"/>
  <c r="F12" i="3" s="1"/>
  <c r="B128" i="3"/>
  <c r="B13" i="3" s="1"/>
  <c r="D128" i="3"/>
  <c r="D13" i="3" s="1"/>
  <c r="F128" i="3"/>
  <c r="F130" i="3" s="1"/>
  <c r="F27" i="3"/>
  <c r="B21" i="3"/>
  <c r="C21" i="3"/>
  <c r="B22" i="3"/>
  <c r="C22" i="3"/>
  <c r="I22" i="3" s="1"/>
  <c r="B24" i="3"/>
  <c r="C24" i="3"/>
  <c r="B25" i="3"/>
  <c r="C25" i="3"/>
  <c r="B27" i="3"/>
  <c r="B7" i="3" s="1"/>
  <c r="C27" i="3"/>
  <c r="C7" i="3" s="1"/>
  <c r="P27" i="3"/>
  <c r="O19" i="21" s="1"/>
  <c r="T36" i="3"/>
  <c r="C40" i="3"/>
  <c r="C44" i="3" s="1"/>
  <c r="I40" i="3"/>
  <c r="P40" i="3"/>
  <c r="P47" i="3" s="1"/>
  <c r="P8" i="3" s="1"/>
  <c r="F51" i="3"/>
  <c r="B60" i="3"/>
  <c r="C60" i="3"/>
  <c r="B61" i="3"/>
  <c r="H61" i="3" s="1"/>
  <c r="H66" i="3" s="1"/>
  <c r="C61" i="3"/>
  <c r="I61" i="3" s="1"/>
  <c r="B63" i="3"/>
  <c r="C63" i="3"/>
  <c r="B64" i="3"/>
  <c r="C64" i="3"/>
  <c r="B66" i="3"/>
  <c r="C66" i="3"/>
  <c r="P66" i="3"/>
  <c r="O6" i="22" s="1"/>
  <c r="I68" i="3"/>
  <c r="P68" i="3"/>
  <c r="I69" i="3"/>
  <c r="K69" i="3"/>
  <c r="P69" i="3"/>
  <c r="C72" i="3"/>
  <c r="C73" i="3"/>
  <c r="I73" i="3" s="1"/>
  <c r="C76" i="3"/>
  <c r="C78" i="3"/>
  <c r="C32" i="22" s="1"/>
  <c r="C86" i="3"/>
  <c r="C87" i="3"/>
  <c r="I87" i="3" s="1"/>
  <c r="B89" i="3"/>
  <c r="C89" i="3"/>
  <c r="B90" i="3"/>
  <c r="C90" i="3"/>
  <c r="C92" i="3"/>
  <c r="C10" i="3" s="1"/>
  <c r="P92" i="3"/>
  <c r="P10" i="3" s="1"/>
  <c r="B98" i="3"/>
  <c r="C98" i="3"/>
  <c r="C99" i="3"/>
  <c r="I99" i="3" s="1"/>
  <c r="B101" i="3"/>
  <c r="C101" i="3"/>
  <c r="B102" i="3"/>
  <c r="C102" i="3"/>
  <c r="B104" i="3"/>
  <c r="B11" i="3" s="1"/>
  <c r="C104" i="3"/>
  <c r="C11" i="3" s="1"/>
  <c r="P104" i="3"/>
  <c r="P11" i="3" s="1"/>
  <c r="C110" i="3"/>
  <c r="C111" i="3"/>
  <c r="B113" i="3"/>
  <c r="C113" i="3"/>
  <c r="B114" i="3"/>
  <c r="C114" i="3"/>
  <c r="C116" i="3"/>
  <c r="C12" i="3" s="1"/>
  <c r="P116" i="3"/>
  <c r="P12" i="3" s="1"/>
  <c r="E121" i="3"/>
  <c r="C122" i="3"/>
  <c r="I122" i="3" s="1"/>
  <c r="C123" i="3"/>
  <c r="B125" i="3"/>
  <c r="C125" i="3"/>
  <c r="B126" i="3"/>
  <c r="C126" i="3"/>
  <c r="C128" i="3"/>
  <c r="C13" i="3" s="1"/>
  <c r="P128" i="3"/>
  <c r="P13" i="3" s="1"/>
  <c r="I153" i="15"/>
  <c r="I22" i="9" l="1"/>
  <c r="G22" i="9"/>
  <c r="C45" i="4"/>
  <c r="F100" i="11"/>
  <c r="F102" i="11" s="1"/>
  <c r="G21" i="11"/>
  <c r="L21" i="11" s="1"/>
  <c r="N21" i="11" s="1"/>
  <c r="Q21" i="11" s="1"/>
  <c r="C53" i="13"/>
  <c r="C56" i="13"/>
  <c r="N136" i="6"/>
  <c r="Q136" i="6" s="1"/>
  <c r="H114" i="6"/>
  <c r="N35" i="15"/>
  <c r="Q35" i="15" s="1"/>
  <c r="N105" i="7"/>
  <c r="Q105" i="7" s="1"/>
  <c r="N38" i="7"/>
  <c r="N55" i="7" s="1"/>
  <c r="Q55" i="7" s="1"/>
  <c r="L55" i="7"/>
  <c r="N296" i="6"/>
  <c r="Q296" i="6" s="1"/>
  <c r="S297" i="6" s="1"/>
  <c r="B6" i="22"/>
  <c r="B59" i="22" s="1"/>
  <c r="B80" i="3"/>
  <c r="S66" i="3" s="1"/>
  <c r="G129" i="5"/>
  <c r="G135" i="5" s="1"/>
  <c r="G10" i="5" s="1"/>
  <c r="H116" i="5"/>
  <c r="H530" i="5"/>
  <c r="N237" i="6"/>
  <c r="Q237" i="6" s="1"/>
  <c r="S237" i="6" s="1"/>
  <c r="F221" i="10"/>
  <c r="F227" i="10" s="1"/>
  <c r="F229" i="10" s="1"/>
  <c r="F19" i="5"/>
  <c r="N150" i="12"/>
  <c r="Q150" i="12" s="1"/>
  <c r="G90" i="16"/>
  <c r="G96" i="16" s="1"/>
  <c r="G10" i="16" s="1"/>
  <c r="U58" i="18"/>
  <c r="H188" i="12"/>
  <c r="G269" i="6"/>
  <c r="E41" i="19"/>
  <c r="F266" i="15"/>
  <c r="F268" i="15" s="1"/>
  <c r="G260" i="15"/>
  <c r="H201" i="15"/>
  <c r="H206" i="15" s="1"/>
  <c r="H18" i="15" s="1"/>
  <c r="H111" i="13"/>
  <c r="H116" i="13" s="1"/>
  <c r="H11" i="13" s="1"/>
  <c r="F168" i="7"/>
  <c r="F15" i="7" s="1"/>
  <c r="F79" i="6"/>
  <c r="E79" i="6" s="1"/>
  <c r="G21" i="3"/>
  <c r="L21" i="3" s="1"/>
  <c r="N21" i="3" s="1"/>
  <c r="Q21" i="3" s="1"/>
  <c r="Q109" i="9"/>
  <c r="S109" i="9" s="1"/>
  <c r="Q176" i="6"/>
  <c r="S177" i="6" s="1"/>
  <c r="F11" i="16"/>
  <c r="F110" i="16"/>
  <c r="N201" i="7"/>
  <c r="Q201" i="7" s="1"/>
  <c r="H193" i="5"/>
  <c r="H198" i="5" s="1"/>
  <c r="H15" i="5" s="1"/>
  <c r="K77" i="8"/>
  <c r="K9" i="8" s="1"/>
  <c r="K11" i="8" s="1"/>
  <c r="J9" i="20" s="1"/>
  <c r="O14" i="21"/>
  <c r="Q24" i="4"/>
  <c r="Q20" i="3"/>
  <c r="I118" i="11"/>
  <c r="I124" i="11" s="1"/>
  <c r="I12" i="11" s="1"/>
  <c r="H255" i="13"/>
  <c r="H260" i="13" s="1"/>
  <c r="H23" i="13" s="1"/>
  <c r="B49" i="16"/>
  <c r="X12" i="9"/>
  <c r="X14" i="9"/>
  <c r="F469" i="5"/>
  <c r="F475" i="5" s="1"/>
  <c r="F218" i="13"/>
  <c r="F224" i="13" s="1"/>
  <c r="C61" i="18"/>
  <c r="H61" i="18" s="1"/>
  <c r="H66" i="18" s="1"/>
  <c r="H8" i="18" s="1"/>
  <c r="C64" i="18"/>
  <c r="O7" i="16"/>
  <c r="D80" i="3"/>
  <c r="D9" i="3" s="1"/>
  <c r="D35" i="21"/>
  <c r="H164" i="12"/>
  <c r="H169" i="12" s="1"/>
  <c r="H15" i="12" s="1"/>
  <c r="D77" i="8"/>
  <c r="D9" i="8" s="1"/>
  <c r="B42" i="8"/>
  <c r="T31" i="8"/>
  <c r="B41" i="8"/>
  <c r="T30" i="8"/>
  <c r="T29" i="8"/>
  <c r="T34" i="8"/>
  <c r="T33" i="8"/>
  <c r="B44" i="8"/>
  <c r="B8" i="8" s="1"/>
  <c r="H177" i="15"/>
  <c r="H182" i="15" s="1"/>
  <c r="H16" i="15" s="1"/>
  <c r="T32" i="8"/>
  <c r="G110" i="13"/>
  <c r="G116" i="13" s="1"/>
  <c r="G11" i="13" s="1"/>
  <c r="N36" i="3"/>
  <c r="Q36" i="3" s="1"/>
  <c r="Q38" i="16"/>
  <c r="N35" i="3"/>
  <c r="Q35" i="3" s="1"/>
  <c r="N145" i="13"/>
  <c r="Q145" i="13" s="1"/>
  <c r="N162" i="13"/>
  <c r="Q162" i="13" s="1"/>
  <c r="Q89" i="16"/>
  <c r="Q37" i="16"/>
  <c r="Q33" i="17"/>
  <c r="N34" i="3"/>
  <c r="Q34" i="3" s="1"/>
  <c r="Q75" i="16"/>
  <c r="Q32" i="17"/>
  <c r="N33" i="3"/>
  <c r="Q33" i="3" s="1"/>
  <c r="H73" i="3"/>
  <c r="Q63" i="16"/>
  <c r="Q35" i="16"/>
  <c r="Q31" i="17"/>
  <c r="F56" i="4"/>
  <c r="G56" i="4" s="1"/>
  <c r="Q42" i="16"/>
  <c r="Q34" i="16"/>
  <c r="Q30" i="17"/>
  <c r="Q41" i="16"/>
  <c r="Q33" i="16"/>
  <c r="N38" i="3"/>
  <c r="Q38" i="3" s="1"/>
  <c r="Q40" i="16"/>
  <c r="Q32" i="16"/>
  <c r="Q36" i="17"/>
  <c r="N37" i="3"/>
  <c r="Q37" i="3" s="1"/>
  <c r="Q39" i="16"/>
  <c r="Q19" i="16"/>
  <c r="N139" i="15"/>
  <c r="Q139" i="15" s="1"/>
  <c r="I389" i="6"/>
  <c r="I395" i="6" s="1"/>
  <c r="I33" i="6" s="1"/>
  <c r="H42" i="18"/>
  <c r="H70" i="18" s="1"/>
  <c r="T34" i="17"/>
  <c r="J28" i="17"/>
  <c r="F28" i="17"/>
  <c r="T38" i="16"/>
  <c r="J30" i="16"/>
  <c r="F30" i="16"/>
  <c r="T31" i="14"/>
  <c r="F28" i="14"/>
  <c r="J28" i="14"/>
  <c r="B53" i="13"/>
  <c r="F41" i="13"/>
  <c r="J41" i="13"/>
  <c r="T50" i="12"/>
  <c r="T44" i="12"/>
  <c r="J38" i="12"/>
  <c r="F38" i="12"/>
  <c r="T55" i="12"/>
  <c r="T51" i="12"/>
  <c r="T35" i="11"/>
  <c r="J31" i="11"/>
  <c r="F31" i="11"/>
  <c r="B56" i="10"/>
  <c r="F38" i="10"/>
  <c r="J38" i="10"/>
  <c r="T34" i="9"/>
  <c r="F32" i="9"/>
  <c r="J32" i="9"/>
  <c r="B39" i="8"/>
  <c r="H39" i="8" s="1"/>
  <c r="H44" i="8" s="1"/>
  <c r="H8" i="8" s="1"/>
  <c r="F27" i="8"/>
  <c r="J27" i="8"/>
  <c r="J36" i="7"/>
  <c r="F36" i="7"/>
  <c r="S165" i="6"/>
  <c r="J74" i="6"/>
  <c r="J8" i="6" s="1"/>
  <c r="J53" i="6"/>
  <c r="F53" i="6"/>
  <c r="B88" i="5"/>
  <c r="F70" i="5"/>
  <c r="J70" i="5"/>
  <c r="B48" i="4"/>
  <c r="F30" i="4"/>
  <c r="I30" i="4" s="1"/>
  <c r="J30" i="4"/>
  <c r="J47" i="3"/>
  <c r="J8" i="3" s="1"/>
  <c r="J31" i="3"/>
  <c r="F31" i="3"/>
  <c r="J28" i="19"/>
  <c r="F28" i="19"/>
  <c r="F53" i="19"/>
  <c r="Q154" i="7"/>
  <c r="F71" i="18"/>
  <c r="H44" i="6"/>
  <c r="L44" i="6" s="1"/>
  <c r="N44" i="6" s="1"/>
  <c r="Q44" i="6" s="1"/>
  <c r="F42" i="19"/>
  <c r="F48" i="19" s="1"/>
  <c r="T36" i="16"/>
  <c r="B48" i="16"/>
  <c r="T35" i="16"/>
  <c r="T34" i="16"/>
  <c r="T33" i="16"/>
  <c r="T32" i="16"/>
  <c r="G209" i="10"/>
  <c r="G215" i="10" s="1"/>
  <c r="G19" i="10" s="1"/>
  <c r="H65" i="16"/>
  <c r="L65" i="16" s="1"/>
  <c r="T42" i="16"/>
  <c r="T41" i="16"/>
  <c r="B51" i="16"/>
  <c r="B8" i="16" s="1"/>
  <c r="T40" i="16"/>
  <c r="F212" i="13"/>
  <c r="F19" i="13" s="1"/>
  <c r="G206" i="13"/>
  <c r="G20" i="4"/>
  <c r="T39" i="16"/>
  <c r="I138" i="7"/>
  <c r="I144" i="7" s="1"/>
  <c r="I13" i="7" s="1"/>
  <c r="H91" i="16"/>
  <c r="H96" i="16" s="1"/>
  <c r="H10" i="16" s="1"/>
  <c r="H22" i="3"/>
  <c r="H27" i="3" s="1"/>
  <c r="G19" i="21" s="1"/>
  <c r="H107" i="9"/>
  <c r="H112" i="9" s="1"/>
  <c r="H11" i="9" s="1"/>
  <c r="I221" i="6"/>
  <c r="I227" i="6" s="1"/>
  <c r="I19" i="6" s="1"/>
  <c r="C44" i="17"/>
  <c r="T38" i="3"/>
  <c r="H174" i="10"/>
  <c r="H179" i="10" s="1"/>
  <c r="H16" i="10" s="1"/>
  <c r="L22" i="9"/>
  <c r="G329" i="6"/>
  <c r="N153" i="7"/>
  <c r="Q153" i="7" s="1"/>
  <c r="O7" i="9"/>
  <c r="G266" i="15"/>
  <c r="G23" i="15" s="1"/>
  <c r="H162" i="10"/>
  <c r="H167" i="10" s="1"/>
  <c r="H15" i="10" s="1"/>
  <c r="H115" i="16"/>
  <c r="H120" i="16" s="1"/>
  <c r="H12" i="16" s="1"/>
  <c r="H103" i="16"/>
  <c r="L103" i="16" s="1"/>
  <c r="N103" i="16" s="1"/>
  <c r="Q103" i="16" s="1"/>
  <c r="I577" i="5"/>
  <c r="F48" i="5"/>
  <c r="H85" i="13"/>
  <c r="L85" i="13" s="1"/>
  <c r="N225" i="10"/>
  <c r="Q225" i="10" s="1"/>
  <c r="J77" i="8"/>
  <c r="J9" i="8" s="1"/>
  <c r="N224" i="10"/>
  <c r="Q224" i="10" s="1"/>
  <c r="D97" i="12"/>
  <c r="D9" i="12" s="1"/>
  <c r="I377" i="6"/>
  <c r="I383" i="6" s="1"/>
  <c r="I32" i="6" s="1"/>
  <c r="G186" i="7"/>
  <c r="G192" i="7" s="1"/>
  <c r="G17" i="7" s="1"/>
  <c r="G72" i="3"/>
  <c r="D34" i="21"/>
  <c r="G60" i="3"/>
  <c r="G66" i="3" s="1"/>
  <c r="D31" i="21"/>
  <c r="N97" i="3"/>
  <c r="Q97" i="3" s="1"/>
  <c r="N42" i="4"/>
  <c r="Q42" i="4" s="1"/>
  <c r="N32" i="4"/>
  <c r="Q32" i="4" s="1"/>
  <c r="F113" i="10"/>
  <c r="F119" i="10" s="1"/>
  <c r="L65" i="22"/>
  <c r="H114" i="10"/>
  <c r="H119" i="10" s="1"/>
  <c r="H11" i="10" s="1"/>
  <c r="H117" i="15"/>
  <c r="H122" i="15" s="1"/>
  <c r="H11" i="15" s="1"/>
  <c r="I128" i="15"/>
  <c r="G61" i="19"/>
  <c r="T49" i="15"/>
  <c r="T55" i="15"/>
  <c r="H73" i="13"/>
  <c r="L73" i="13" s="1"/>
  <c r="N73" i="13" s="1"/>
  <c r="Q73" i="13" s="1"/>
  <c r="H127" i="7"/>
  <c r="H132" i="7" s="1"/>
  <c r="H12" i="7" s="1"/>
  <c r="B57" i="22"/>
  <c r="S225" i="6"/>
  <c r="H131" i="11"/>
  <c r="H136" i="11" s="1"/>
  <c r="H13" i="11" s="1"/>
  <c r="H171" i="13"/>
  <c r="H105" i="15"/>
  <c r="H110" i="15" s="1"/>
  <c r="H10" i="15" s="1"/>
  <c r="H212" i="12"/>
  <c r="L212" i="12" s="1"/>
  <c r="I188" i="15"/>
  <c r="I194" i="15" s="1"/>
  <c r="I17" i="15" s="1"/>
  <c r="H234" i="6"/>
  <c r="H239" i="6" s="1"/>
  <c r="H20" i="6" s="1"/>
  <c r="H84" i="14"/>
  <c r="H89" i="14" s="1"/>
  <c r="H10" i="14" s="1"/>
  <c r="I76" i="7"/>
  <c r="I82" i="7" s="1"/>
  <c r="H90" i="12"/>
  <c r="I162" i="7"/>
  <c r="H130" i="18"/>
  <c r="L130" i="18" s="1"/>
  <c r="N130" i="18" s="1"/>
  <c r="Q130" i="18" s="1"/>
  <c r="F18" i="15"/>
  <c r="F208" i="15"/>
  <c r="I255" i="13"/>
  <c r="I99" i="6"/>
  <c r="B57" i="13"/>
  <c r="I237" i="18"/>
  <c r="I243" i="18" s="1"/>
  <c r="I21" i="18" s="1"/>
  <c r="I200" i="15"/>
  <c r="C43" i="17"/>
  <c r="I90" i="12"/>
  <c r="I214" i="18"/>
  <c r="L214" i="18" s="1"/>
  <c r="N214" i="18" s="1"/>
  <c r="Q214" i="18" s="1"/>
  <c r="T45" i="13"/>
  <c r="T30" i="14"/>
  <c r="G589" i="5"/>
  <c r="G595" i="5" s="1"/>
  <c r="G48" i="5" s="1"/>
  <c r="G78" i="15"/>
  <c r="L78" i="15" s="1"/>
  <c r="N78" i="15" s="1"/>
  <c r="Q78" i="15" s="1"/>
  <c r="F217" i="6"/>
  <c r="H186" i="10"/>
  <c r="H191" i="10" s="1"/>
  <c r="H17" i="10" s="1"/>
  <c r="I113" i="6"/>
  <c r="I119" i="6" s="1"/>
  <c r="I10" i="6" s="1"/>
  <c r="F194" i="15"/>
  <c r="F17" i="15" s="1"/>
  <c r="T45" i="9"/>
  <c r="J7" i="16"/>
  <c r="H126" i="6"/>
  <c r="L126" i="6" s="1"/>
  <c r="N126" i="6" s="1"/>
  <c r="Q126" i="6" s="1"/>
  <c r="T41" i="9"/>
  <c r="H261" i="15"/>
  <c r="L261" i="15" s="1"/>
  <c r="N261" i="15" s="1"/>
  <c r="Q261" i="15" s="1"/>
  <c r="H342" i="6"/>
  <c r="H347" i="6" s="1"/>
  <c r="H29" i="6" s="1"/>
  <c r="G239" i="6"/>
  <c r="G20" i="6" s="1"/>
  <c r="I281" i="6"/>
  <c r="I287" i="6" s="1"/>
  <c r="I24" i="6" s="1"/>
  <c r="I149" i="10"/>
  <c r="H123" i="13"/>
  <c r="H128" i="13" s="1"/>
  <c r="H12" i="13" s="1"/>
  <c r="G73" i="19"/>
  <c r="S381" i="6"/>
  <c r="B41" i="14"/>
  <c r="H231" i="13"/>
  <c r="H236" i="13" s="1"/>
  <c r="H21" i="13" s="1"/>
  <c r="I129" i="18"/>
  <c r="I135" i="18" s="1"/>
  <c r="I12" i="18" s="1"/>
  <c r="B44" i="14"/>
  <c r="B8" i="14" s="1"/>
  <c r="H207" i="13"/>
  <c r="T34" i="14"/>
  <c r="B77" i="8"/>
  <c r="B9" i="8" s="1"/>
  <c r="G57" i="8"/>
  <c r="G63" i="8" s="1"/>
  <c r="F11" i="22" s="1"/>
  <c r="I146" i="13"/>
  <c r="I152" i="13" s="1"/>
  <c r="I14" i="13" s="1"/>
  <c r="T33" i="14"/>
  <c r="K7" i="5"/>
  <c r="B86" i="11"/>
  <c r="B9" i="11" s="1"/>
  <c r="H241" i="5"/>
  <c r="H246" i="5" s="1"/>
  <c r="H19" i="5" s="1"/>
  <c r="S417" i="6"/>
  <c r="H111" i="3"/>
  <c r="H116" i="3" s="1"/>
  <c r="H12" i="3" s="1"/>
  <c r="O7" i="6"/>
  <c r="F49" i="6"/>
  <c r="E22" i="21" s="1"/>
  <c r="G43" i="6"/>
  <c r="D27" i="21"/>
  <c r="L32" i="13"/>
  <c r="N32" i="13" s="1"/>
  <c r="Q32" i="13" s="1"/>
  <c r="H210" i="10"/>
  <c r="H215" i="10" s="1"/>
  <c r="H19" i="10" s="1"/>
  <c r="K7" i="13"/>
  <c r="S345" i="6"/>
  <c r="J7" i="10"/>
  <c r="K7" i="3"/>
  <c r="H118" i="18"/>
  <c r="L118" i="18" s="1"/>
  <c r="N118" i="18" s="1"/>
  <c r="Q118" i="18" s="1"/>
  <c r="H470" i="5"/>
  <c r="L470" i="5" s="1"/>
  <c r="N470" i="5" s="1"/>
  <c r="Q470" i="5" s="1"/>
  <c r="I166" i="5"/>
  <c r="I172" i="5" s="1"/>
  <c r="I13" i="5" s="1"/>
  <c r="I421" i="5"/>
  <c r="I427" i="5" s="1"/>
  <c r="I34" i="5" s="1"/>
  <c r="B87" i="5"/>
  <c r="B90" i="5"/>
  <c r="B8" i="5" s="1"/>
  <c r="I312" i="5"/>
  <c r="I318" i="5" s="1"/>
  <c r="I25" i="5" s="1"/>
  <c r="D29" i="21"/>
  <c r="J7" i="18"/>
  <c r="J7" i="14"/>
  <c r="J7" i="12"/>
  <c r="K7" i="10"/>
  <c r="F41" i="5"/>
  <c r="F25" i="5"/>
  <c r="O7" i="12"/>
  <c r="G110" i="3"/>
  <c r="G116" i="3" s="1"/>
  <c r="G12" i="3" s="1"/>
  <c r="C90" i="5"/>
  <c r="C8" i="5" s="1"/>
  <c r="C88" i="5"/>
  <c r="D98" i="15"/>
  <c r="D9" i="15" s="1"/>
  <c r="F18" i="14"/>
  <c r="I18" i="14" s="1"/>
  <c r="I24" i="14" s="1"/>
  <c r="C85" i="5"/>
  <c r="H76" i="10"/>
  <c r="L76" i="10" s="1"/>
  <c r="N76" i="10" s="1"/>
  <c r="Q76" i="10" s="1"/>
  <c r="G88" i="7"/>
  <c r="I192" i="5"/>
  <c r="I198" i="5" s="1"/>
  <c r="I15" i="5" s="1"/>
  <c r="T32" i="14"/>
  <c r="B42" i="14"/>
  <c r="T35" i="14"/>
  <c r="I226" i="18"/>
  <c r="L226" i="18" s="1"/>
  <c r="N226" i="18" s="1"/>
  <c r="Q226" i="18" s="1"/>
  <c r="I60" i="18"/>
  <c r="F23" i="8"/>
  <c r="E24" i="21" s="1"/>
  <c r="I182" i="13"/>
  <c r="I188" i="13" s="1"/>
  <c r="I17" i="13" s="1"/>
  <c r="H270" i="6"/>
  <c r="H275" i="6" s="1"/>
  <c r="H23" i="6" s="1"/>
  <c r="G17" i="8"/>
  <c r="G23" i="8" s="1"/>
  <c r="I413" i="6"/>
  <c r="I419" i="6" s="1"/>
  <c r="I35" i="6" s="1"/>
  <c r="G122" i="3"/>
  <c r="L122" i="3" s="1"/>
  <c r="N122" i="3" s="1"/>
  <c r="Q122" i="3" s="1"/>
  <c r="H138" i="10"/>
  <c r="H143" i="10" s="1"/>
  <c r="H13" i="10" s="1"/>
  <c r="H153" i="15"/>
  <c r="H158" i="15" s="1"/>
  <c r="H14" i="15" s="1"/>
  <c r="G273" i="18"/>
  <c r="G279" i="18" s="1"/>
  <c r="G24" i="18" s="1"/>
  <c r="H330" i="6"/>
  <c r="L330" i="6" s="1"/>
  <c r="N330" i="6" s="1"/>
  <c r="Q330" i="6" s="1"/>
  <c r="L19" i="14"/>
  <c r="N19" i="14" s="1"/>
  <c r="Q19" i="14" s="1"/>
  <c r="D99" i="18"/>
  <c r="D9" i="18" s="1"/>
  <c r="I105" i="18"/>
  <c r="I111" i="18" s="1"/>
  <c r="I10" i="18" s="1"/>
  <c r="F113" i="18"/>
  <c r="I127" i="7"/>
  <c r="C87" i="5"/>
  <c r="G254" i="13"/>
  <c r="G260" i="13" s="1"/>
  <c r="G23" i="13" s="1"/>
  <c r="H141" i="15"/>
  <c r="L141" i="15" s="1"/>
  <c r="N141" i="15" s="1"/>
  <c r="Q141" i="15" s="1"/>
  <c r="G60" i="18"/>
  <c r="G66" i="18" s="1"/>
  <c r="G8" i="18" s="1"/>
  <c r="H274" i="18"/>
  <c r="H279" i="18" s="1"/>
  <c r="H24" i="18" s="1"/>
  <c r="G98" i="3"/>
  <c r="G104" i="3" s="1"/>
  <c r="G11" i="3" s="1"/>
  <c r="G118" i="9"/>
  <c r="L118" i="9" s="1"/>
  <c r="N118" i="9" s="1"/>
  <c r="Q118" i="9" s="1"/>
  <c r="G64" i="4"/>
  <c r="D84" i="4"/>
  <c r="D9" i="4" s="1"/>
  <c r="D88" i="9"/>
  <c r="D9" i="9" s="1"/>
  <c r="I111" i="3"/>
  <c r="K7" i="16"/>
  <c r="P7" i="9"/>
  <c r="F13" i="3"/>
  <c r="D77" i="14"/>
  <c r="D9" i="14" s="1"/>
  <c r="G182" i="13"/>
  <c r="G188" i="13" s="1"/>
  <c r="G17" i="13" s="1"/>
  <c r="I18" i="19"/>
  <c r="I24" i="19" s="1"/>
  <c r="F24" i="19"/>
  <c r="F7" i="19" s="1"/>
  <c r="F12" i="19" s="1"/>
  <c r="E20" i="20" s="1"/>
  <c r="H231" i="18"/>
  <c r="H20" i="18" s="1"/>
  <c r="P7" i="5"/>
  <c r="C41" i="8"/>
  <c r="I41" i="8" s="1"/>
  <c r="L41" i="8" s="1"/>
  <c r="N41" i="8" s="1"/>
  <c r="Q41" i="8" s="1"/>
  <c r="C46" i="19"/>
  <c r="G114" i="4"/>
  <c r="G120" i="4" s="1"/>
  <c r="G12" i="4" s="1"/>
  <c r="G140" i="15"/>
  <c r="G146" i="15" s="1"/>
  <c r="G13" i="15" s="1"/>
  <c r="H506" i="5"/>
  <c r="H511" i="5" s="1"/>
  <c r="H41" i="5" s="1"/>
  <c r="H181" i="5"/>
  <c r="L181" i="5" s="1"/>
  <c r="N181" i="5" s="1"/>
  <c r="Q181" i="5" s="1"/>
  <c r="H222" i="6"/>
  <c r="L222" i="6" s="1"/>
  <c r="N222" i="6" s="1"/>
  <c r="Q222" i="6" s="1"/>
  <c r="G87" i="10"/>
  <c r="H224" i="12"/>
  <c r="L224" i="12" s="1"/>
  <c r="N224" i="12" s="1"/>
  <c r="Q224" i="12" s="1"/>
  <c r="I139" i="12"/>
  <c r="H183" i="13"/>
  <c r="L183" i="13" s="1"/>
  <c r="N183" i="13" s="1"/>
  <c r="Q183" i="13" s="1"/>
  <c r="C74" i="6"/>
  <c r="C8" i="6" s="1"/>
  <c r="B84" i="5"/>
  <c r="G116" i="15"/>
  <c r="G154" i="5"/>
  <c r="G160" i="5" s="1"/>
  <c r="G12" i="5" s="1"/>
  <c r="D33" i="21"/>
  <c r="C43" i="19"/>
  <c r="I43" i="19" s="1"/>
  <c r="H225" i="15"/>
  <c r="L225" i="15" s="1"/>
  <c r="N225" i="15" s="1"/>
  <c r="Q225" i="15" s="1"/>
  <c r="K7" i="18"/>
  <c r="G188" i="15"/>
  <c r="G194" i="15" s="1"/>
  <c r="G17" i="15" s="1"/>
  <c r="I161" i="6"/>
  <c r="H189" i="15"/>
  <c r="L189" i="15" s="1"/>
  <c r="N189" i="15" s="1"/>
  <c r="Q189" i="15" s="1"/>
  <c r="C38" i="8"/>
  <c r="G140" i="9"/>
  <c r="G146" i="9" s="1"/>
  <c r="G14" i="9" s="1"/>
  <c r="C68" i="22"/>
  <c r="G90" i="15"/>
  <c r="K7" i="11"/>
  <c r="H237" i="15"/>
  <c r="L237" i="15" s="1"/>
  <c r="N237" i="15" s="1"/>
  <c r="Q237" i="15" s="1"/>
  <c r="C44" i="8"/>
  <c r="C8" i="8" s="1"/>
  <c r="G122" i="13"/>
  <c r="G128" i="13" s="1"/>
  <c r="G12" i="13" s="1"/>
  <c r="I106" i="11"/>
  <c r="I112" i="11" s="1"/>
  <c r="I11" i="11" s="1"/>
  <c r="H277" i="5"/>
  <c r="H282" i="5" s="1"/>
  <c r="H22" i="5" s="1"/>
  <c r="H130" i="5"/>
  <c r="H135" i="5" s="1"/>
  <c r="H10" i="5" s="1"/>
  <c r="H318" i="6"/>
  <c r="L318" i="6" s="1"/>
  <c r="N318" i="6" s="1"/>
  <c r="Q318" i="6" s="1"/>
  <c r="H95" i="9"/>
  <c r="H100" i="9" s="1"/>
  <c r="H10" i="9" s="1"/>
  <c r="H198" i="10"/>
  <c r="H203" i="10" s="1"/>
  <c r="H18" i="10" s="1"/>
  <c r="E39" i="17"/>
  <c r="F40" i="17" s="1"/>
  <c r="F46" i="17" s="1"/>
  <c r="G84" i="13"/>
  <c r="C68" i="6"/>
  <c r="F260" i="13"/>
  <c r="F23" i="13" s="1"/>
  <c r="T31" i="17"/>
  <c r="H265" i="5"/>
  <c r="H270" i="5" s="1"/>
  <c r="H21" i="5" s="1"/>
  <c r="B85" i="5"/>
  <c r="H306" i="6"/>
  <c r="H311" i="6" s="1"/>
  <c r="H26" i="6" s="1"/>
  <c r="H150" i="6"/>
  <c r="H155" i="6" s="1"/>
  <c r="H13" i="6" s="1"/>
  <c r="N43" i="15"/>
  <c r="L58" i="15"/>
  <c r="I264" i="5"/>
  <c r="I164" i="12"/>
  <c r="G264" i="5"/>
  <c r="G270" i="5" s="1"/>
  <c r="G21" i="5" s="1"/>
  <c r="H61" i="5"/>
  <c r="H66" i="5" s="1"/>
  <c r="G21" i="21" s="1"/>
  <c r="B97" i="12"/>
  <c r="S83" i="12" s="1"/>
  <c r="I94" i="11"/>
  <c r="I100" i="11" s="1"/>
  <c r="I10" i="11" s="1"/>
  <c r="H229" i="5"/>
  <c r="H234" i="5" s="1"/>
  <c r="H18" i="5" s="1"/>
  <c r="C42" i="8"/>
  <c r="C81" i="19"/>
  <c r="C9" i="19" s="1"/>
  <c r="I589" i="5"/>
  <c r="I84" i="13"/>
  <c r="B73" i="22"/>
  <c r="P7" i="13"/>
  <c r="I254" i="13"/>
  <c r="F98" i="16"/>
  <c r="G64" i="16"/>
  <c r="I64" i="16"/>
  <c r="I70" i="16" s="1"/>
  <c r="G236" i="15"/>
  <c r="G242" i="15" s="1"/>
  <c r="G21" i="15" s="1"/>
  <c r="F122" i="15"/>
  <c r="F11" i="15" s="1"/>
  <c r="I116" i="15"/>
  <c r="I122" i="15" s="1"/>
  <c r="I11" i="15" s="1"/>
  <c r="B65" i="15"/>
  <c r="B8" i="15" s="1"/>
  <c r="T56" i="15"/>
  <c r="T52" i="15"/>
  <c r="T47" i="15"/>
  <c r="T43" i="15"/>
  <c r="T46" i="15"/>
  <c r="B62" i="15"/>
  <c r="T54" i="15"/>
  <c r="T50" i="15"/>
  <c r="T45" i="15"/>
  <c r="B63" i="15"/>
  <c r="T51" i="15"/>
  <c r="T53" i="15"/>
  <c r="T48" i="15"/>
  <c r="T44" i="15"/>
  <c r="K7" i="14"/>
  <c r="I170" i="13"/>
  <c r="I176" i="13" s="1"/>
  <c r="I16" i="13" s="1"/>
  <c r="I110" i="13"/>
  <c r="I116" i="13" s="1"/>
  <c r="I11" i="13" s="1"/>
  <c r="L29" i="12"/>
  <c r="N29" i="12" s="1"/>
  <c r="Q29" i="12" s="1"/>
  <c r="I125" i="10"/>
  <c r="M7" i="10"/>
  <c r="G200" i="15"/>
  <c r="G206" i="15" s="1"/>
  <c r="G18" i="15" s="1"/>
  <c r="G170" i="13"/>
  <c r="G176" i="13" s="1"/>
  <c r="G16" i="13" s="1"/>
  <c r="G134" i="13"/>
  <c r="G140" i="13" s="1"/>
  <c r="G13" i="13" s="1"/>
  <c r="F15" i="10"/>
  <c r="F169" i="10"/>
  <c r="H18" i="8"/>
  <c r="H23" i="8" s="1"/>
  <c r="G173" i="6"/>
  <c r="G179" i="6" s="1"/>
  <c r="G15" i="6" s="1"/>
  <c r="H243" i="13"/>
  <c r="L243" i="13" s="1"/>
  <c r="N243" i="13" s="1"/>
  <c r="Q243" i="13" s="1"/>
  <c r="O88" i="9"/>
  <c r="O9" i="9" s="1"/>
  <c r="G166" i="5"/>
  <c r="G172" i="5" s="1"/>
  <c r="G13" i="5" s="1"/>
  <c r="P7" i="6"/>
  <c r="I201" i="15"/>
  <c r="T42" i="4"/>
  <c r="H554" i="5"/>
  <c r="H559" i="5" s="1"/>
  <c r="H45" i="5" s="1"/>
  <c r="I233" i="6"/>
  <c r="H58" i="8"/>
  <c r="H63" i="8" s="1"/>
  <c r="G11" i="22" s="1"/>
  <c r="G64" i="22" s="1"/>
  <c r="C59" i="10"/>
  <c r="C51" i="11"/>
  <c r="T54" i="12"/>
  <c r="T42" i="12"/>
  <c r="I242" i="13"/>
  <c r="I248" i="13" s="1"/>
  <c r="I22" i="13" s="1"/>
  <c r="G18" i="17"/>
  <c r="G24" i="17" s="1"/>
  <c r="G76" i="4"/>
  <c r="H313" i="5"/>
  <c r="L313" i="5" s="1"/>
  <c r="N313" i="5" s="1"/>
  <c r="Q313" i="5" s="1"/>
  <c r="H167" i="5"/>
  <c r="H172" i="5" s="1"/>
  <c r="H13" i="5" s="1"/>
  <c r="H378" i="6"/>
  <c r="L378" i="6" s="1"/>
  <c r="N378" i="6" s="1"/>
  <c r="Q378" i="6" s="1"/>
  <c r="H88" i="10"/>
  <c r="L88" i="10" s="1"/>
  <c r="N88" i="10" s="1"/>
  <c r="Q88" i="10" s="1"/>
  <c r="G230" i="13"/>
  <c r="G236" i="13" s="1"/>
  <c r="G21" i="13" s="1"/>
  <c r="G341" i="6"/>
  <c r="G161" i="6"/>
  <c r="G167" i="6" s="1"/>
  <c r="G14" i="6" s="1"/>
  <c r="N214" i="12"/>
  <c r="Q214" i="12" s="1"/>
  <c r="T38" i="4"/>
  <c r="I57" i="8"/>
  <c r="I63" i="8" s="1"/>
  <c r="H11" i="22" s="1"/>
  <c r="H64" i="22" s="1"/>
  <c r="T53" i="12"/>
  <c r="T41" i="12"/>
  <c r="J7" i="17"/>
  <c r="H155" i="5"/>
  <c r="G138" i="7"/>
  <c r="G144" i="7" s="1"/>
  <c r="G13" i="7" s="1"/>
  <c r="G103" i="5"/>
  <c r="D21" i="21"/>
  <c r="H390" i="6"/>
  <c r="H395" i="6" s="1"/>
  <c r="H33" i="6" s="1"/>
  <c r="I110" i="3"/>
  <c r="G127" i="12"/>
  <c r="G133" i="12" s="1"/>
  <c r="G12" i="12" s="1"/>
  <c r="H518" i="5"/>
  <c r="H523" i="5" s="1"/>
  <c r="H42" i="5" s="1"/>
  <c r="O84" i="16"/>
  <c r="O9" i="16" s="1"/>
  <c r="G377" i="6"/>
  <c r="G383" i="6" s="1"/>
  <c r="G32" i="6" s="1"/>
  <c r="T33" i="4"/>
  <c r="B51" i="4"/>
  <c r="B8" i="4" s="1"/>
  <c r="D107" i="6"/>
  <c r="D9" i="6" s="1"/>
  <c r="F77" i="8"/>
  <c r="F79" i="8" s="1"/>
  <c r="T52" i="12"/>
  <c r="T40" i="12"/>
  <c r="B64" i="12"/>
  <c r="B8" i="12" s="1"/>
  <c r="C42" i="14"/>
  <c r="I90" i="15"/>
  <c r="H92" i="18"/>
  <c r="L92" i="18" s="1"/>
  <c r="N92" i="18" s="1"/>
  <c r="Q92" i="18" s="1"/>
  <c r="I73" i="19"/>
  <c r="I79" i="19" s="1"/>
  <c r="H48" i="22" s="1"/>
  <c r="H289" i="5"/>
  <c r="L289" i="5" s="1"/>
  <c r="N289" i="5" s="1"/>
  <c r="Q289" i="5" s="1"/>
  <c r="H142" i="5"/>
  <c r="H147" i="5" s="1"/>
  <c r="H11" i="5" s="1"/>
  <c r="I27" i="11"/>
  <c r="G137" i="6"/>
  <c r="L137" i="6" s="1"/>
  <c r="N137" i="6" s="1"/>
  <c r="Q112" i="6"/>
  <c r="G128" i="15"/>
  <c r="G134" i="15" s="1"/>
  <c r="G12" i="15" s="1"/>
  <c r="K88" i="9"/>
  <c r="K9" i="9" s="1"/>
  <c r="K16" i="9" s="1"/>
  <c r="J10" i="20" s="1"/>
  <c r="O7" i="15"/>
  <c r="H65" i="4"/>
  <c r="G209" i="6"/>
  <c r="G215" i="6" s="1"/>
  <c r="G18" i="6" s="1"/>
  <c r="I135" i="9"/>
  <c r="I13" i="9" s="1"/>
  <c r="B88" i="9"/>
  <c r="S75" i="9" s="1"/>
  <c r="B62" i="12"/>
  <c r="T49" i="12"/>
  <c r="J7" i="5"/>
  <c r="M7" i="4"/>
  <c r="H422" i="5"/>
  <c r="H427" i="5" s="1"/>
  <c r="H34" i="5" s="1"/>
  <c r="H294" i="6"/>
  <c r="L294" i="6" s="1"/>
  <c r="N294" i="6" s="1"/>
  <c r="Q294" i="6" s="1"/>
  <c r="H138" i="6"/>
  <c r="F180" i="5"/>
  <c r="G180" i="5" s="1"/>
  <c r="G186" i="5" s="1"/>
  <c r="G14" i="5" s="1"/>
  <c r="G565" i="5"/>
  <c r="G571" i="5" s="1"/>
  <c r="G46" i="5" s="1"/>
  <c r="G113" i="6"/>
  <c r="H165" i="15"/>
  <c r="L165" i="15" s="1"/>
  <c r="N165" i="15" s="1"/>
  <c r="Q165" i="15" s="1"/>
  <c r="G137" i="10"/>
  <c r="G143" i="10" s="1"/>
  <c r="G13" i="10" s="1"/>
  <c r="H159" i="13"/>
  <c r="H164" i="13" s="1"/>
  <c r="H15" i="13" s="1"/>
  <c r="J65" i="22"/>
  <c r="I365" i="6"/>
  <c r="I371" i="6" s="1"/>
  <c r="I31" i="6" s="1"/>
  <c r="N84" i="9"/>
  <c r="H70" i="9"/>
  <c r="H75" i="9" s="1"/>
  <c r="I87" i="10"/>
  <c r="I93" i="10" s="1"/>
  <c r="H39" i="22" s="1"/>
  <c r="B61" i="12"/>
  <c r="T48" i="12"/>
  <c r="H79" i="15"/>
  <c r="L79" i="15" s="1"/>
  <c r="N79" i="15" s="1"/>
  <c r="Q79" i="15" s="1"/>
  <c r="I79" i="18"/>
  <c r="I85" i="18" s="1"/>
  <c r="H21" i="22" s="1"/>
  <c r="F24" i="17"/>
  <c r="L52" i="13"/>
  <c r="G102" i="4"/>
  <c r="G108" i="4" s="1"/>
  <c r="G11" i="4" s="1"/>
  <c r="H410" i="5"/>
  <c r="H415" i="5" s="1"/>
  <c r="H33" i="5" s="1"/>
  <c r="N117" i="6"/>
  <c r="Q117" i="6" s="1"/>
  <c r="N116" i="6"/>
  <c r="Q116" i="6" s="1"/>
  <c r="H282" i="6"/>
  <c r="L282" i="6" s="1"/>
  <c r="N282" i="6" s="1"/>
  <c r="Q282" i="6" s="1"/>
  <c r="G263" i="6"/>
  <c r="G22" i="6" s="1"/>
  <c r="G153" i="18"/>
  <c r="G159" i="18" s="1"/>
  <c r="G14" i="18" s="1"/>
  <c r="G125" i="10"/>
  <c r="G131" i="10" s="1"/>
  <c r="G12" i="10" s="1"/>
  <c r="B46" i="4"/>
  <c r="I219" i="18"/>
  <c r="I19" i="18" s="1"/>
  <c r="G312" i="5"/>
  <c r="G318" i="5" s="1"/>
  <c r="G25" i="5" s="1"/>
  <c r="I137" i="10"/>
  <c r="I143" i="10" s="1"/>
  <c r="I13" i="10" s="1"/>
  <c r="D95" i="10"/>
  <c r="D9" i="10" s="1"/>
  <c r="T47" i="12"/>
  <c r="I176" i="15"/>
  <c r="I182" i="15" s="1"/>
  <c r="I16" i="15" s="1"/>
  <c r="G79" i="18"/>
  <c r="G87" i="6"/>
  <c r="H119" i="6"/>
  <c r="H10" i="6" s="1"/>
  <c r="I175" i="12"/>
  <c r="G248" i="15"/>
  <c r="G254" i="15" s="1"/>
  <c r="G22" i="15" s="1"/>
  <c r="G152" i="15"/>
  <c r="G158" i="15" s="1"/>
  <c r="G14" i="15" s="1"/>
  <c r="F251" i="6"/>
  <c r="G245" i="6"/>
  <c r="G251" i="6" s="1"/>
  <c r="G21" i="6" s="1"/>
  <c r="I329" i="6"/>
  <c r="I335" i="6" s="1"/>
  <c r="I28" i="6" s="1"/>
  <c r="L61" i="3"/>
  <c r="N61" i="3" s="1"/>
  <c r="Q61" i="3" s="1"/>
  <c r="I225" i="18"/>
  <c r="H116" i="12"/>
  <c r="L116" i="12" s="1"/>
  <c r="N116" i="12" s="1"/>
  <c r="Q116" i="12" s="1"/>
  <c r="I397" i="5"/>
  <c r="I403" i="5" s="1"/>
  <c r="I32" i="5" s="1"/>
  <c r="H119" i="9"/>
  <c r="H124" i="9" s="1"/>
  <c r="H12" i="9" s="1"/>
  <c r="T46" i="12"/>
  <c r="D84" i="16"/>
  <c r="D9" i="16" s="1"/>
  <c r="L103" i="4"/>
  <c r="N103" i="4" s="1"/>
  <c r="Q103" i="4" s="1"/>
  <c r="H571" i="5"/>
  <c r="H46" i="5" s="1"/>
  <c r="H217" i="5"/>
  <c r="F227" i="6"/>
  <c r="F19" i="6" s="1"/>
  <c r="G221" i="6"/>
  <c r="G227" i="6" s="1"/>
  <c r="G19" i="6" s="1"/>
  <c r="P7" i="12"/>
  <c r="I234" i="6"/>
  <c r="I174" i="10"/>
  <c r="I106" i="9"/>
  <c r="I112" i="9" s="1"/>
  <c r="I11" i="9" s="1"/>
  <c r="E57" i="12"/>
  <c r="F58" i="12" s="1"/>
  <c r="F64" i="12" s="1"/>
  <c r="F72" i="12" s="1"/>
  <c r="T45" i="12"/>
  <c r="F70" i="15"/>
  <c r="G70" i="15" s="1"/>
  <c r="I130" i="11"/>
  <c r="I136" i="11" s="1"/>
  <c r="I13" i="11" s="1"/>
  <c r="H91" i="4"/>
  <c r="G90" i="4"/>
  <c r="L90" i="4" s="1"/>
  <c r="H535" i="5"/>
  <c r="H43" i="5" s="1"/>
  <c r="H350" i="5"/>
  <c r="H205" i="5"/>
  <c r="H210" i="5" s="1"/>
  <c r="H16" i="5" s="1"/>
  <c r="H414" i="6"/>
  <c r="H419" i="6" s="1"/>
  <c r="H35" i="6" s="1"/>
  <c r="H246" i="6"/>
  <c r="L246" i="6" s="1"/>
  <c r="N246" i="6" s="1"/>
  <c r="Q246" i="6" s="1"/>
  <c r="G162" i="7"/>
  <c r="G168" i="7" s="1"/>
  <c r="G15" i="7" s="1"/>
  <c r="H162" i="6"/>
  <c r="H167" i="6" s="1"/>
  <c r="H14" i="6" s="1"/>
  <c r="G25" i="21"/>
  <c r="H249" i="15"/>
  <c r="H254" i="15" s="1"/>
  <c r="H22" i="15" s="1"/>
  <c r="H195" i="13"/>
  <c r="H200" i="13" s="1"/>
  <c r="H18" i="13" s="1"/>
  <c r="B66" i="22"/>
  <c r="G413" i="6"/>
  <c r="H104" i="5"/>
  <c r="L104" i="5" s="1"/>
  <c r="I249" i="18"/>
  <c r="K7" i="19"/>
  <c r="H77" i="4"/>
  <c r="L77" i="4" s="1"/>
  <c r="H337" i="5"/>
  <c r="H342" i="5" s="1"/>
  <c r="H27" i="5" s="1"/>
  <c r="H402" i="6"/>
  <c r="H407" i="6" s="1"/>
  <c r="H34" i="6" s="1"/>
  <c r="N215" i="12"/>
  <c r="Q215" i="12" s="1"/>
  <c r="G197" i="6"/>
  <c r="G203" i="6" s="1"/>
  <c r="G17" i="6" s="1"/>
  <c r="I140" i="9"/>
  <c r="M88" i="9"/>
  <c r="M9" i="9" s="1"/>
  <c r="I69" i="9"/>
  <c r="F88" i="9"/>
  <c r="F90" i="9" s="1"/>
  <c r="I150" i="7"/>
  <c r="I156" i="7" s="1"/>
  <c r="I14" i="7" s="1"/>
  <c r="H89" i="7"/>
  <c r="L89" i="7" s="1"/>
  <c r="N89" i="7" s="1"/>
  <c r="Q89" i="7" s="1"/>
  <c r="I88" i="7"/>
  <c r="I94" i="7" s="1"/>
  <c r="H77" i="7"/>
  <c r="L77" i="7" s="1"/>
  <c r="N77" i="7" s="1"/>
  <c r="H151" i="7"/>
  <c r="H156" i="7" s="1"/>
  <c r="H14" i="7" s="1"/>
  <c r="H103" i="7"/>
  <c r="G174" i="7"/>
  <c r="G180" i="7" s="1"/>
  <c r="G16" i="7" s="1"/>
  <c r="H199" i="7"/>
  <c r="H204" i="7" s="1"/>
  <c r="H18" i="7" s="1"/>
  <c r="H187" i="7"/>
  <c r="H192" i="7" s="1"/>
  <c r="H17" i="7" s="1"/>
  <c r="H139" i="7"/>
  <c r="H144" i="7" s="1"/>
  <c r="H13" i="7" s="1"/>
  <c r="I174" i="7"/>
  <c r="I180" i="7" s="1"/>
  <c r="I16" i="7" s="1"/>
  <c r="F180" i="7"/>
  <c r="F16" i="7" s="1"/>
  <c r="H175" i="7"/>
  <c r="H180" i="7" s="1"/>
  <c r="H16" i="7" s="1"/>
  <c r="F206" i="7"/>
  <c r="D96" i="7"/>
  <c r="D9" i="7" s="1"/>
  <c r="H163" i="7"/>
  <c r="H115" i="7"/>
  <c r="D23" i="21"/>
  <c r="T42" i="7"/>
  <c r="T38" i="7"/>
  <c r="T41" i="7"/>
  <c r="B61" i="7"/>
  <c r="T40" i="7"/>
  <c r="T43" i="7"/>
  <c r="T39" i="7"/>
  <c r="B63" i="7"/>
  <c r="B8" i="7" s="1"/>
  <c r="I173" i="6"/>
  <c r="I87" i="6"/>
  <c r="I43" i="6"/>
  <c r="I49" i="6" s="1"/>
  <c r="I7" i="6" s="1"/>
  <c r="F210" i="5"/>
  <c r="F212" i="5" s="1"/>
  <c r="G204" i="5"/>
  <c r="F147" i="5"/>
  <c r="F149" i="5" s="1"/>
  <c r="G141" i="5"/>
  <c r="G147" i="5" s="1"/>
  <c r="G11" i="5" s="1"/>
  <c r="I505" i="5"/>
  <c r="I511" i="5" s="1"/>
  <c r="I41" i="5" s="1"/>
  <c r="G505" i="5"/>
  <c r="G511" i="5" s="1"/>
  <c r="G41" i="5" s="1"/>
  <c r="G421" i="5"/>
  <c r="G427" i="5" s="1"/>
  <c r="G34" i="5" s="1"/>
  <c r="I324" i="5"/>
  <c r="I330" i="5" s="1"/>
  <c r="I26" i="5" s="1"/>
  <c r="G252" i="5"/>
  <c r="G258" i="5" s="1"/>
  <c r="G20" i="5" s="1"/>
  <c r="I252" i="5"/>
  <c r="F160" i="5"/>
  <c r="F162" i="5" s="1"/>
  <c r="G361" i="5"/>
  <c r="I361" i="5"/>
  <c r="F29" i="5"/>
  <c r="G150" i="7"/>
  <c r="G156" i="7" s="1"/>
  <c r="G14" i="7" s="1"/>
  <c r="G105" i="18"/>
  <c r="G29" i="21"/>
  <c r="G69" i="12"/>
  <c r="F27" i="11"/>
  <c r="E27" i="21" s="1"/>
  <c r="O95" i="10"/>
  <c r="O9" i="10" s="1"/>
  <c r="X12" i="8"/>
  <c r="I186" i="7"/>
  <c r="I192" i="7" s="1"/>
  <c r="I17" i="7" s="1"/>
  <c r="F108" i="7"/>
  <c r="F110" i="7" s="1"/>
  <c r="G102" i="7"/>
  <c r="F68" i="7"/>
  <c r="G389" i="6"/>
  <c r="G395" i="6" s="1"/>
  <c r="G33" i="6" s="1"/>
  <c r="S369" i="6"/>
  <c r="F336" i="5"/>
  <c r="Q178" i="5"/>
  <c r="N177" i="5"/>
  <c r="Q177" i="5" s="1"/>
  <c r="N152" i="5"/>
  <c r="Q152" i="5" s="1"/>
  <c r="S159" i="5" s="1"/>
  <c r="M7" i="5"/>
  <c r="B75" i="22"/>
  <c r="F7" i="3"/>
  <c r="Z59" i="3"/>
  <c r="G61" i="9"/>
  <c r="F56" i="16"/>
  <c r="G56" i="16" s="1"/>
  <c r="M7" i="6"/>
  <c r="D20" i="22"/>
  <c r="D73" i="22" s="1"/>
  <c r="D79" i="17"/>
  <c r="D9" i="17" s="1"/>
  <c r="G187" i="12"/>
  <c r="G193" i="12" s="1"/>
  <c r="F193" i="12"/>
  <c r="N253" i="13"/>
  <c r="Q253" i="13" s="1"/>
  <c r="I76" i="4"/>
  <c r="I82" i="4" s="1"/>
  <c r="H33" i="22" s="1"/>
  <c r="B42" i="19"/>
  <c r="T30" i="19"/>
  <c r="B45" i="19"/>
  <c r="T31" i="19"/>
  <c r="B46" i="19"/>
  <c r="T32" i="19"/>
  <c r="B48" i="19"/>
  <c r="B8" i="19" s="1"/>
  <c r="T33" i="19"/>
  <c r="T34" i="19"/>
  <c r="T35" i="19"/>
  <c r="T36" i="19"/>
  <c r="T37" i="19"/>
  <c r="T38" i="19"/>
  <c r="T39" i="19"/>
  <c r="B10" i="22"/>
  <c r="B63" i="22" s="1"/>
  <c r="B96" i="7"/>
  <c r="B33" i="22"/>
  <c r="B60" i="22" s="1"/>
  <c r="B84" i="4"/>
  <c r="B9" i="4" s="1"/>
  <c r="I75" i="10"/>
  <c r="I81" i="10" s="1"/>
  <c r="H13" i="22" s="1"/>
  <c r="H106" i="18"/>
  <c r="H111" i="18" s="1"/>
  <c r="H10" i="18" s="1"/>
  <c r="C70" i="22"/>
  <c r="O30" i="21"/>
  <c r="P7" i="14"/>
  <c r="H595" i="5"/>
  <c r="H48" i="5" s="1"/>
  <c r="I590" i="5"/>
  <c r="I301" i="5"/>
  <c r="H301" i="5"/>
  <c r="H306" i="5" s="1"/>
  <c r="H24" i="5" s="1"/>
  <c r="I253" i="5"/>
  <c r="H253" i="5"/>
  <c r="H258" i="5" s="1"/>
  <c r="H20" i="5" s="1"/>
  <c r="I161" i="10"/>
  <c r="I167" i="10" s="1"/>
  <c r="I15" i="10" s="1"/>
  <c r="G161" i="10"/>
  <c r="G167" i="10" s="1"/>
  <c r="G15" i="10" s="1"/>
  <c r="N102" i="5"/>
  <c r="Q102" i="5" s="1"/>
  <c r="L111" i="5"/>
  <c r="I162" i="6"/>
  <c r="H222" i="10"/>
  <c r="H227" i="10" s="1"/>
  <c r="H20" i="10" s="1"/>
  <c r="I222" i="10"/>
  <c r="H104" i="12"/>
  <c r="H109" i="12" s="1"/>
  <c r="H10" i="12" s="1"/>
  <c r="I104" i="12"/>
  <c r="I69" i="14"/>
  <c r="I75" i="14" s="1"/>
  <c r="H43" i="22" s="1"/>
  <c r="B21" i="22"/>
  <c r="B74" i="22" s="1"/>
  <c r="B99" i="18"/>
  <c r="S85" i="18" s="1"/>
  <c r="D7" i="12"/>
  <c r="D22" i="12" s="1"/>
  <c r="D13" i="20" s="1"/>
  <c r="D28" i="21"/>
  <c r="F12" i="6"/>
  <c r="F145" i="6"/>
  <c r="J33" i="21"/>
  <c r="K7" i="17"/>
  <c r="L25" i="21"/>
  <c r="M7" i="9"/>
  <c r="I19" i="21"/>
  <c r="J7" i="3"/>
  <c r="F122" i="7"/>
  <c r="F11" i="7"/>
  <c r="N90" i="18"/>
  <c r="I100" i="6"/>
  <c r="H100" i="6"/>
  <c r="G114" i="7"/>
  <c r="G120" i="7" s="1"/>
  <c r="G11" i="7" s="1"/>
  <c r="I114" i="7"/>
  <c r="I120" i="7" s="1"/>
  <c r="I11" i="7" s="1"/>
  <c r="O35" i="21"/>
  <c r="P7" i="19"/>
  <c r="B92" i="13"/>
  <c r="S90" i="13" s="1"/>
  <c r="B42" i="22"/>
  <c r="B69" i="22" s="1"/>
  <c r="H129" i="15"/>
  <c r="I129" i="15"/>
  <c r="I59" i="17"/>
  <c r="I65" i="17" s="1"/>
  <c r="H20" i="22" s="1"/>
  <c r="G59" i="17"/>
  <c r="I154" i="18"/>
  <c r="H154" i="18"/>
  <c r="H159" i="18" s="1"/>
  <c r="H14" i="18" s="1"/>
  <c r="I98" i="3"/>
  <c r="L23" i="9"/>
  <c r="N23" i="9" s="1"/>
  <c r="Q23" i="9" s="1"/>
  <c r="N173" i="7"/>
  <c r="Q173" i="7" s="1"/>
  <c r="H147" i="13"/>
  <c r="L147" i="13" s="1"/>
  <c r="N147" i="13" s="1"/>
  <c r="Q147" i="13" s="1"/>
  <c r="B61" i="22"/>
  <c r="I203" i="6"/>
  <c r="I17" i="6" s="1"/>
  <c r="H70" i="8"/>
  <c r="H75" i="8" s="1"/>
  <c r="G129" i="9"/>
  <c r="G135" i="9" s="1"/>
  <c r="G13" i="9" s="1"/>
  <c r="G69" i="9"/>
  <c r="G75" i="9" s="1"/>
  <c r="F12" i="22" s="1"/>
  <c r="C57" i="13"/>
  <c r="I212" i="15"/>
  <c r="I218" i="15" s="1"/>
  <c r="I19" i="15" s="1"/>
  <c r="G189" i="18"/>
  <c r="G195" i="18" s="1"/>
  <c r="G17" i="18" s="1"/>
  <c r="G99" i="6"/>
  <c r="P88" i="9"/>
  <c r="P9" i="9" s="1"/>
  <c r="I103" i="12"/>
  <c r="C41" i="14"/>
  <c r="H262" i="18"/>
  <c r="H267" i="18" s="1"/>
  <c r="H23" i="18" s="1"/>
  <c r="I273" i="18"/>
  <c r="I279" i="18" s="1"/>
  <c r="I24" i="18" s="1"/>
  <c r="C54" i="13"/>
  <c r="I54" i="13" s="1"/>
  <c r="I236" i="15"/>
  <c r="I242" i="15" s="1"/>
  <c r="I21" i="15" s="1"/>
  <c r="I267" i="18"/>
  <c r="I23" i="18" s="1"/>
  <c r="N44" i="18"/>
  <c r="D81" i="19"/>
  <c r="D9" i="19" s="1"/>
  <c r="H95" i="11"/>
  <c r="H100" i="11" s="1"/>
  <c r="H10" i="11" s="1"/>
  <c r="N115" i="15"/>
  <c r="Q115" i="15" s="1"/>
  <c r="F118" i="3"/>
  <c r="I126" i="7"/>
  <c r="C65" i="22"/>
  <c r="G75" i="10"/>
  <c r="G28" i="12"/>
  <c r="G34" i="12" s="1"/>
  <c r="F28" i="21" s="1"/>
  <c r="H77" i="16"/>
  <c r="L77" i="16" s="1"/>
  <c r="N77" i="16" s="1"/>
  <c r="Q77" i="16" s="1"/>
  <c r="O34" i="21"/>
  <c r="G139" i="12"/>
  <c r="G145" i="12" s="1"/>
  <c r="G13" i="12" s="1"/>
  <c r="G197" i="10"/>
  <c r="G203" i="10" s="1"/>
  <c r="G18" i="10" s="1"/>
  <c r="B65" i="22"/>
  <c r="H80" i="18"/>
  <c r="L80" i="18" s="1"/>
  <c r="N80" i="18" s="1"/>
  <c r="F28" i="9"/>
  <c r="E25" i="21" s="1"/>
  <c r="L19" i="19"/>
  <c r="N19" i="19" s="1"/>
  <c r="Q19" i="19" s="1"/>
  <c r="G98" i="13"/>
  <c r="G104" i="13" s="1"/>
  <c r="G10" i="13" s="1"/>
  <c r="I69" i="8"/>
  <c r="I124" i="9"/>
  <c r="I12" i="9" s="1"/>
  <c r="B60" i="10"/>
  <c r="F67" i="10"/>
  <c r="G67" i="10" s="1"/>
  <c r="H152" i="12"/>
  <c r="H157" i="12" s="1"/>
  <c r="H14" i="12" s="1"/>
  <c r="F51" i="17"/>
  <c r="G51" i="17" s="1"/>
  <c r="D25" i="21"/>
  <c r="N25" i="7"/>
  <c r="Q25" i="7" s="1"/>
  <c r="F49" i="14"/>
  <c r="G49" i="14" s="1"/>
  <c r="G103" i="12"/>
  <c r="G109" i="12" s="1"/>
  <c r="G10" i="12" s="1"/>
  <c r="I190" i="18"/>
  <c r="L190" i="18" s="1"/>
  <c r="N190" i="18" s="1"/>
  <c r="Q190" i="18" s="1"/>
  <c r="I613" i="5"/>
  <c r="I619" i="5" s="1"/>
  <c r="I50" i="5" s="1"/>
  <c r="C57" i="10"/>
  <c r="I57" i="10" s="1"/>
  <c r="G407" i="6"/>
  <c r="G34" i="6" s="1"/>
  <c r="C72" i="6"/>
  <c r="N70" i="14"/>
  <c r="Q70" i="14" s="1"/>
  <c r="G57" i="14"/>
  <c r="H72" i="17"/>
  <c r="H60" i="17"/>
  <c r="O7" i="19"/>
  <c r="J7" i="9"/>
  <c r="H325" i="5"/>
  <c r="L325" i="5" s="1"/>
  <c r="N325" i="5" s="1"/>
  <c r="Q325" i="5" s="1"/>
  <c r="S470" i="5"/>
  <c r="S471" i="5" s="1"/>
  <c r="I117" i="18"/>
  <c r="I123" i="18" s="1"/>
  <c r="I11" i="18" s="1"/>
  <c r="H195" i="18"/>
  <c r="H17" i="18" s="1"/>
  <c r="H107" i="11"/>
  <c r="H112" i="11" s="1"/>
  <c r="H11" i="11" s="1"/>
  <c r="G94" i="11"/>
  <c r="G106" i="11"/>
  <c r="T42" i="11"/>
  <c r="O7" i="11"/>
  <c r="T34" i="11"/>
  <c r="D86" i="11"/>
  <c r="D9" i="11" s="1"/>
  <c r="C48" i="11"/>
  <c r="I48" i="11" s="1"/>
  <c r="C50" i="11"/>
  <c r="T39" i="11"/>
  <c r="C86" i="11"/>
  <c r="C9" i="11" s="1"/>
  <c r="C53" i="11"/>
  <c r="C8" i="11" s="1"/>
  <c r="O86" i="11"/>
  <c r="O9" i="11" s="1"/>
  <c r="H67" i="11"/>
  <c r="L67" i="11" s="1"/>
  <c r="N67" i="11" s="1"/>
  <c r="Q67" i="11" s="1"/>
  <c r="B50" i="11"/>
  <c r="T38" i="11"/>
  <c r="G66" i="11"/>
  <c r="G72" i="11" s="1"/>
  <c r="F14" i="22" s="1"/>
  <c r="F67" i="22" s="1"/>
  <c r="T43" i="11"/>
  <c r="H119" i="11"/>
  <c r="H124" i="11" s="1"/>
  <c r="H12" i="11" s="1"/>
  <c r="E46" i="11"/>
  <c r="F47" i="11" s="1"/>
  <c r="F53" i="11" s="1"/>
  <c r="F8" i="11" s="1"/>
  <c r="T67" i="6"/>
  <c r="I487" i="5"/>
  <c r="I39" i="5" s="1"/>
  <c r="H578" i="5"/>
  <c r="H583" i="5" s="1"/>
  <c r="H47" i="5" s="1"/>
  <c r="H458" i="5"/>
  <c r="H463" i="5" s="1"/>
  <c r="H37" i="5" s="1"/>
  <c r="I547" i="5"/>
  <c r="I44" i="5" s="1"/>
  <c r="I60" i="3"/>
  <c r="I66" i="3" s="1"/>
  <c r="H6" i="22" s="1"/>
  <c r="O7" i="3"/>
  <c r="I27" i="3"/>
  <c r="F244" i="15"/>
  <c r="I152" i="15"/>
  <c r="I158" i="15" s="1"/>
  <c r="I14" i="15" s="1"/>
  <c r="F158" i="15"/>
  <c r="F14" i="15" s="1"/>
  <c r="I248" i="15"/>
  <c r="I254" i="15" s="1"/>
  <c r="I22" i="15" s="1"/>
  <c r="F254" i="15"/>
  <c r="F31" i="15"/>
  <c r="F37" i="15" s="1"/>
  <c r="F39" i="15" s="1"/>
  <c r="I185" i="10"/>
  <c r="I191" i="10" s="1"/>
  <c r="I17" i="10" s="1"/>
  <c r="G185" i="10"/>
  <c r="F157" i="10"/>
  <c r="T47" i="10"/>
  <c r="B59" i="10"/>
  <c r="T46" i="10"/>
  <c r="B57" i="10"/>
  <c r="T45" i="10"/>
  <c r="T44" i="10"/>
  <c r="T43" i="10"/>
  <c r="B62" i="10"/>
  <c r="B8" i="10" s="1"/>
  <c r="T42" i="10"/>
  <c r="T53" i="10"/>
  <c r="T41" i="10"/>
  <c r="T52" i="10"/>
  <c r="T40" i="10"/>
  <c r="T51" i="10"/>
  <c r="T50" i="10"/>
  <c r="T49" i="10"/>
  <c r="F181" i="12"/>
  <c r="F183" i="12" s="1"/>
  <c r="G175" i="12"/>
  <c r="G181" i="12" s="1"/>
  <c r="G16" i="12" s="1"/>
  <c r="G115" i="12"/>
  <c r="G121" i="12" s="1"/>
  <c r="G11" i="12" s="1"/>
  <c r="F109" i="12"/>
  <c r="F111" i="12" s="1"/>
  <c r="G89" i="12"/>
  <c r="I151" i="12"/>
  <c r="N75" i="22"/>
  <c r="H7" i="16"/>
  <c r="M7" i="12"/>
  <c r="S213" i="6"/>
  <c r="F421" i="6"/>
  <c r="S405" i="6"/>
  <c r="F133" i="6"/>
  <c r="F537" i="5"/>
  <c r="I187" i="12"/>
  <c r="G151" i="12"/>
  <c r="G157" i="12" s="1"/>
  <c r="G14" i="12" s="1"/>
  <c r="F145" i="12"/>
  <c r="I77" i="12"/>
  <c r="G28" i="21"/>
  <c r="G601" i="5"/>
  <c r="G607" i="5" s="1"/>
  <c r="G49" i="5" s="1"/>
  <c r="G529" i="5"/>
  <c r="G535" i="5" s="1"/>
  <c r="G43" i="5" s="1"/>
  <c r="G324" i="5"/>
  <c r="F24" i="5"/>
  <c r="F23" i="5"/>
  <c r="I276" i="5"/>
  <c r="I282" i="5" s="1"/>
  <c r="I22" i="5" s="1"/>
  <c r="I240" i="5"/>
  <c r="I246" i="5" s="1"/>
  <c r="I19" i="5" s="1"/>
  <c r="G240" i="5"/>
  <c r="G246" i="5" s="1"/>
  <c r="G19" i="5" s="1"/>
  <c r="G192" i="5"/>
  <c r="I141" i="5"/>
  <c r="I101" i="10"/>
  <c r="G101" i="10"/>
  <c r="G107" i="10" s="1"/>
  <c r="G10" i="10" s="1"/>
  <c r="O7" i="10"/>
  <c r="P7" i="3"/>
  <c r="O7" i="17"/>
  <c r="J7" i="15"/>
  <c r="M7" i="14"/>
  <c r="M7" i="13"/>
  <c r="J7" i="13"/>
  <c r="J7" i="7"/>
  <c r="S273" i="6"/>
  <c r="S261" i="6"/>
  <c r="S249" i="6"/>
  <c r="S153" i="6"/>
  <c r="S141" i="6"/>
  <c r="S129" i="6"/>
  <c r="J7" i="6"/>
  <c r="F15" i="5"/>
  <c r="F26" i="5"/>
  <c r="S509" i="5"/>
  <c r="F68" i="5"/>
  <c r="F7" i="5"/>
  <c r="F52" i="5" s="1"/>
  <c r="E6" i="20" s="1"/>
  <c r="I64" i="4"/>
  <c r="O81" i="19"/>
  <c r="O9" i="19" s="1"/>
  <c r="H202" i="18"/>
  <c r="L202" i="18" s="1"/>
  <c r="N202" i="18" s="1"/>
  <c r="Q202" i="18" s="1"/>
  <c r="O98" i="15"/>
  <c r="O9" i="15" s="1"/>
  <c r="H374" i="5"/>
  <c r="H379" i="5" s="1"/>
  <c r="H30" i="5" s="1"/>
  <c r="F284" i="5"/>
  <c r="F22" i="5"/>
  <c r="F272" i="5"/>
  <c r="G349" i="5"/>
  <c r="I349" i="5"/>
  <c r="I355" i="5" s="1"/>
  <c r="I28" i="5" s="1"/>
  <c r="F28" i="5"/>
  <c r="Q335" i="5"/>
  <c r="F609" i="5"/>
  <c r="F174" i="5"/>
  <c r="F13" i="5"/>
  <c r="I228" i="5"/>
  <c r="I234" i="5" s="1"/>
  <c r="I18" i="5" s="1"/>
  <c r="F18" i="5"/>
  <c r="I409" i="5"/>
  <c r="I415" i="5" s="1"/>
  <c r="I33" i="5" s="1"/>
  <c r="G409" i="5"/>
  <c r="F33" i="5"/>
  <c r="D123" i="5"/>
  <c r="D9" i="5" s="1"/>
  <c r="F403" i="5"/>
  <c r="F32" i="5" s="1"/>
  <c r="G397" i="5"/>
  <c r="G403" i="5" s="1"/>
  <c r="G32" i="5" s="1"/>
  <c r="J90" i="5"/>
  <c r="J8" i="5" s="1"/>
  <c r="I385" i="5"/>
  <c r="L385" i="5" s="1"/>
  <c r="I129" i="5"/>
  <c r="I135" i="5" s="1"/>
  <c r="I10" i="5" s="1"/>
  <c r="N197" i="7"/>
  <c r="Q197" i="7" s="1"/>
  <c r="O7" i="7"/>
  <c r="F34" i="7"/>
  <c r="N185" i="7"/>
  <c r="Q185" i="7" s="1"/>
  <c r="N161" i="7"/>
  <c r="Q161" i="7" s="1"/>
  <c r="N149" i="7"/>
  <c r="Q149" i="7" s="1"/>
  <c r="N137" i="7"/>
  <c r="Q137" i="7" s="1"/>
  <c r="Q39" i="7"/>
  <c r="Q43" i="7"/>
  <c r="Q42" i="7"/>
  <c r="Q41" i="7"/>
  <c r="Q40" i="7"/>
  <c r="N75" i="7"/>
  <c r="Q75" i="7" s="1"/>
  <c r="N101" i="7"/>
  <c r="Q101" i="7" s="1"/>
  <c r="N113" i="7"/>
  <c r="Q113" i="7" s="1"/>
  <c r="E10" i="22"/>
  <c r="E63" i="22" s="1"/>
  <c r="F96" i="7"/>
  <c r="F98" i="7" s="1"/>
  <c r="F63" i="7"/>
  <c r="F71" i="7" s="1"/>
  <c r="X11" i="11"/>
  <c r="N66" i="22"/>
  <c r="O26" i="21"/>
  <c r="J25" i="21"/>
  <c r="F12" i="7"/>
  <c r="S321" i="6"/>
  <c r="P107" i="6"/>
  <c r="P9" i="6" s="1"/>
  <c r="F20" i="5"/>
  <c r="O20" i="21"/>
  <c r="K7" i="4"/>
  <c r="L88" i="19"/>
  <c r="N88" i="19" s="1"/>
  <c r="Q88" i="19" s="1"/>
  <c r="I24" i="17"/>
  <c r="G146" i="13"/>
  <c r="F118" i="13"/>
  <c r="O84" i="4"/>
  <c r="O9" i="4" s="1"/>
  <c r="N7" i="22"/>
  <c r="N60" i="22" s="1"/>
  <c r="F14" i="7"/>
  <c r="I102" i="7"/>
  <c r="E23" i="21"/>
  <c r="I114" i="4"/>
  <c r="I120" i="4" s="1"/>
  <c r="I12" i="4" s="1"/>
  <c r="F98" i="4"/>
  <c r="G213" i="18"/>
  <c r="G219" i="18" s="1"/>
  <c r="G19" i="18" s="1"/>
  <c r="G183" i="18"/>
  <c r="G16" i="18" s="1"/>
  <c r="G117" i="18"/>
  <c r="G123" i="18" s="1"/>
  <c r="G11" i="18" s="1"/>
  <c r="F8" i="18"/>
  <c r="F257" i="18"/>
  <c r="M7" i="18"/>
  <c r="F165" i="18"/>
  <c r="F12" i="18"/>
  <c r="G32" i="18"/>
  <c r="G38" i="18" s="1"/>
  <c r="G141" i="18"/>
  <c r="G147" i="18" s="1"/>
  <c r="G13" i="18" s="1"/>
  <c r="O74" i="22"/>
  <c r="I153" i="18"/>
  <c r="F161" i="18"/>
  <c r="H166" i="18"/>
  <c r="F38" i="18"/>
  <c r="F40" i="18" s="1"/>
  <c r="F154" i="13"/>
  <c r="F18" i="13"/>
  <c r="F236" i="13"/>
  <c r="I230" i="13"/>
  <c r="I236" i="13" s="1"/>
  <c r="I21" i="13" s="1"/>
  <c r="I98" i="13"/>
  <c r="F104" i="13"/>
  <c r="F10" i="13" s="1"/>
  <c r="F142" i="13"/>
  <c r="F190" i="13"/>
  <c r="Q45" i="13"/>
  <c r="N52" i="13"/>
  <c r="Q52" i="13" s="1"/>
  <c r="T44" i="13"/>
  <c r="T43" i="13"/>
  <c r="B54" i="13"/>
  <c r="T50" i="13"/>
  <c r="T49" i="13"/>
  <c r="T48" i="13"/>
  <c r="B59" i="13"/>
  <c r="B8" i="13" s="1"/>
  <c r="T47" i="13"/>
  <c r="T46" i="13"/>
  <c r="F203" i="10"/>
  <c r="F18" i="10" s="1"/>
  <c r="I197" i="10"/>
  <c r="I203" i="10" s="1"/>
  <c r="I18" i="10" s="1"/>
  <c r="F10" i="11"/>
  <c r="I28" i="9"/>
  <c r="I7" i="9" s="1"/>
  <c r="F407" i="6"/>
  <c r="F409" i="6" s="1"/>
  <c r="I407" i="6"/>
  <c r="I34" i="6" s="1"/>
  <c r="I245" i="6"/>
  <c r="I251" i="6" s="1"/>
  <c r="I21" i="6" s="1"/>
  <c r="E37" i="8"/>
  <c r="F38" i="8" s="1"/>
  <c r="O7" i="8"/>
  <c r="J7" i="8"/>
  <c r="G176" i="15"/>
  <c r="H7" i="15"/>
  <c r="G31" i="21"/>
  <c r="F12" i="16"/>
  <c r="F26" i="16"/>
  <c r="F28" i="16" s="1"/>
  <c r="F10" i="15"/>
  <c r="F112" i="15"/>
  <c r="G104" i="15"/>
  <c r="G110" i="15" s="1"/>
  <c r="G10" i="15" s="1"/>
  <c r="I104" i="15"/>
  <c r="I110" i="15" s="1"/>
  <c r="I10" i="15" s="1"/>
  <c r="F184" i="15"/>
  <c r="I260" i="15"/>
  <c r="I266" i="15" s="1"/>
  <c r="I23" i="15" s="1"/>
  <c r="F12" i="15"/>
  <c r="O31" i="21"/>
  <c r="M7" i="15"/>
  <c r="G35" i="21"/>
  <c r="F58" i="11"/>
  <c r="G58" i="11" s="1"/>
  <c r="I71" i="17"/>
  <c r="I77" i="17" s="1"/>
  <c r="G71" i="17"/>
  <c r="F241" i="6"/>
  <c r="P86" i="11"/>
  <c r="P9" i="11" s="1"/>
  <c r="P15" i="11" s="1"/>
  <c r="O12" i="20" s="1"/>
  <c r="J86" i="11"/>
  <c r="J9" i="11" s="1"/>
  <c r="F12" i="11"/>
  <c r="O27" i="21"/>
  <c r="H22" i="11"/>
  <c r="H27" i="11" s="1"/>
  <c r="H7" i="11" s="1"/>
  <c r="L35" i="21"/>
  <c r="G7" i="19"/>
  <c r="C75" i="22"/>
  <c r="C45" i="19"/>
  <c r="H62" i="19"/>
  <c r="C42" i="19"/>
  <c r="L86" i="17"/>
  <c r="N86" i="17" s="1"/>
  <c r="Q86" i="17" s="1"/>
  <c r="H91" i="17"/>
  <c r="H10" i="17" s="1"/>
  <c r="T33" i="17"/>
  <c r="T32" i="17"/>
  <c r="B44" i="17"/>
  <c r="T30" i="17"/>
  <c r="B43" i="17"/>
  <c r="B46" i="17"/>
  <c r="B8" i="17" s="1"/>
  <c r="T37" i="17"/>
  <c r="T36" i="17"/>
  <c r="T35" i="17"/>
  <c r="M7" i="16"/>
  <c r="I76" i="16"/>
  <c r="I82" i="16" s="1"/>
  <c r="H45" i="22" s="1"/>
  <c r="G76" i="16"/>
  <c r="O77" i="14"/>
  <c r="O9" i="14" s="1"/>
  <c r="L37" i="14"/>
  <c r="N37" i="14"/>
  <c r="Q37" i="14" s="1"/>
  <c r="X7" i="14" s="1"/>
  <c r="H7" i="14"/>
  <c r="F301" i="6"/>
  <c r="F397" i="6"/>
  <c r="F373" i="6"/>
  <c r="F26" i="6"/>
  <c r="F14" i="9"/>
  <c r="E55" i="10"/>
  <c r="F56" i="10" s="1"/>
  <c r="G173" i="10"/>
  <c r="G179" i="10" s="1"/>
  <c r="G16" i="10" s="1"/>
  <c r="F145" i="10"/>
  <c r="F109" i="10"/>
  <c r="D50" i="22"/>
  <c r="F34" i="10"/>
  <c r="E26" i="21" s="1"/>
  <c r="G28" i="10"/>
  <c r="L614" i="5"/>
  <c r="N614" i="5" s="1"/>
  <c r="Q614" i="5" s="1"/>
  <c r="H619" i="5"/>
  <c r="H50" i="5" s="1"/>
  <c r="F138" i="11"/>
  <c r="L188" i="12"/>
  <c r="N188" i="12" s="1"/>
  <c r="Q188" i="12" s="1"/>
  <c r="F148" i="15"/>
  <c r="O7" i="4"/>
  <c r="B123" i="5"/>
  <c r="B9" i="5" s="1"/>
  <c r="B35" i="22"/>
  <c r="B62" i="22" s="1"/>
  <c r="O12" i="22"/>
  <c r="O65" i="22" s="1"/>
  <c r="F32" i="6"/>
  <c r="F146" i="7"/>
  <c r="F13" i="7"/>
  <c r="I70" i="8"/>
  <c r="H78" i="12"/>
  <c r="I78" i="12"/>
  <c r="L44" i="16"/>
  <c r="N30" i="19"/>
  <c r="Q30" i="19" s="1"/>
  <c r="L41" i="19"/>
  <c r="I20" i="4"/>
  <c r="I26" i="4" s="1"/>
  <c r="I553" i="5"/>
  <c r="I559" i="5" s="1"/>
  <c r="I45" i="5" s="1"/>
  <c r="L83" i="5"/>
  <c r="I84" i="15"/>
  <c r="H18" i="22" s="1"/>
  <c r="C84" i="16"/>
  <c r="C9" i="16" s="1"/>
  <c r="N45" i="12"/>
  <c r="Q45" i="12" s="1"/>
  <c r="L57" i="12"/>
  <c r="I529" i="5"/>
  <c r="F52" i="3"/>
  <c r="E52" i="3" s="1"/>
  <c r="F169" i="6"/>
  <c r="C77" i="8"/>
  <c r="C9" i="8" s="1"/>
  <c r="N65" i="22"/>
  <c r="I374" i="5"/>
  <c r="F49" i="8"/>
  <c r="G49" i="8" s="1"/>
  <c r="F15" i="13"/>
  <c r="F166" i="13"/>
  <c r="I173" i="10"/>
  <c r="B107" i="6"/>
  <c r="S105" i="6" s="1"/>
  <c r="G69" i="8"/>
  <c r="H58" i="14"/>
  <c r="L58" i="14" s="1"/>
  <c r="N58" i="14" s="1"/>
  <c r="Q58" i="14" s="1"/>
  <c r="I337" i="5"/>
  <c r="S155" i="5"/>
  <c r="S157" i="5" s="1"/>
  <c r="C71" i="6"/>
  <c r="H434" i="5"/>
  <c r="H439" i="5" s="1"/>
  <c r="H35" i="5" s="1"/>
  <c r="F22" i="6"/>
  <c r="F181" i="10"/>
  <c r="F16" i="10"/>
  <c r="P7" i="17"/>
  <c r="O33" i="21"/>
  <c r="F122" i="4"/>
  <c r="C92" i="13"/>
  <c r="C9" i="13" s="1"/>
  <c r="C16" i="22"/>
  <c r="C69" i="22" s="1"/>
  <c r="H542" i="5"/>
  <c r="L542" i="5" s="1"/>
  <c r="N542" i="5" s="1"/>
  <c r="Q542" i="5" s="1"/>
  <c r="H398" i="5"/>
  <c r="H403" i="5" s="1"/>
  <c r="H32" i="5" s="1"/>
  <c r="I81" i="9"/>
  <c r="L81" i="9" s="1"/>
  <c r="N81" i="9" s="1"/>
  <c r="Q81" i="9" s="1"/>
  <c r="I70" i="9"/>
  <c r="F133" i="10"/>
  <c r="F12" i="10"/>
  <c r="F17" i="7"/>
  <c r="C97" i="12"/>
  <c r="C9" i="12" s="1"/>
  <c r="C77" i="14"/>
  <c r="C9" i="14" s="1"/>
  <c r="C66" i="18"/>
  <c r="C8" i="18" s="1"/>
  <c r="G481" i="5"/>
  <c r="G487" i="5" s="1"/>
  <c r="G39" i="5" s="1"/>
  <c r="C88" i="9"/>
  <c r="C9" i="9" s="1"/>
  <c r="F193" i="10"/>
  <c r="F250" i="13"/>
  <c r="P7" i="16"/>
  <c r="H74" i="19"/>
  <c r="J7" i="11"/>
  <c r="B79" i="17"/>
  <c r="B9" i="17" s="1"/>
  <c r="D7" i="14"/>
  <c r="D12" i="14" s="1"/>
  <c r="D15" i="20" s="1"/>
  <c r="D30" i="21"/>
  <c r="N29" i="8"/>
  <c r="Q29" i="8" s="1"/>
  <c r="L37" i="8"/>
  <c r="G76" i="7"/>
  <c r="H130" i="9"/>
  <c r="L130" i="9" s="1"/>
  <c r="N130" i="9" s="1"/>
  <c r="Q130" i="9" s="1"/>
  <c r="C60" i="10"/>
  <c r="I127" i="12"/>
  <c r="F19" i="12"/>
  <c r="N17" i="22"/>
  <c r="N70" i="22" s="1"/>
  <c r="B98" i="15"/>
  <c r="F15" i="15"/>
  <c r="B58" i="12"/>
  <c r="B59" i="12"/>
  <c r="I152" i="12"/>
  <c r="B84" i="16"/>
  <c r="S82" i="16" s="1"/>
  <c r="L23" i="21"/>
  <c r="M7" i="7"/>
  <c r="C98" i="15"/>
  <c r="C9" i="15" s="1"/>
  <c r="B71" i="22"/>
  <c r="B59" i="15"/>
  <c r="B60" i="15"/>
  <c r="N29" i="21"/>
  <c r="P99" i="18"/>
  <c r="P9" i="18" s="1"/>
  <c r="P26" i="18" s="1"/>
  <c r="M86" i="11"/>
  <c r="M9" i="11" s="1"/>
  <c r="L14" i="22"/>
  <c r="L67" i="22" s="1"/>
  <c r="S201" i="6"/>
  <c r="S333" i="6"/>
  <c r="G212" i="15"/>
  <c r="J23" i="21"/>
  <c r="B38" i="8"/>
  <c r="M77" i="8"/>
  <c r="M9" i="8" s="1"/>
  <c r="M11" i="8" s="1"/>
  <c r="H238" i="18"/>
  <c r="H243" i="18" s="1"/>
  <c r="H21" i="18" s="1"/>
  <c r="L24" i="21"/>
  <c r="L14" i="21"/>
  <c r="G445" i="5"/>
  <c r="G451" i="5" s="1"/>
  <c r="G36" i="5" s="1"/>
  <c r="G106" i="9"/>
  <c r="G112" i="9" s="1"/>
  <c r="G11" i="9" s="1"/>
  <c r="T40" i="9"/>
  <c r="I26" i="16"/>
  <c r="B45" i="4"/>
  <c r="T36" i="4"/>
  <c r="H482" i="5"/>
  <c r="L482" i="5" s="1"/>
  <c r="N482" i="5" s="1"/>
  <c r="Q482" i="5" s="1"/>
  <c r="G281" i="6"/>
  <c r="H366" i="6"/>
  <c r="I34" i="10"/>
  <c r="G149" i="10"/>
  <c r="G155" i="10" s="1"/>
  <c r="G14" i="10" s="1"/>
  <c r="J24" i="21"/>
  <c r="O62" i="22"/>
  <c r="M7" i="17"/>
  <c r="H446" i="5"/>
  <c r="H451" i="5" s="1"/>
  <c r="H36" i="5" s="1"/>
  <c r="L32" i="15"/>
  <c r="N32" i="15" s="1"/>
  <c r="Q32" i="15" s="1"/>
  <c r="B43" i="19"/>
  <c r="H213" i="15"/>
  <c r="H79" i="11"/>
  <c r="H87" i="3"/>
  <c r="L87" i="3" s="1"/>
  <c r="N87" i="3" s="1"/>
  <c r="Q87" i="3" s="1"/>
  <c r="I445" i="5"/>
  <c r="I451" i="5" s="1"/>
  <c r="I36" i="5" s="1"/>
  <c r="G201" i="18"/>
  <c r="G207" i="18" s="1"/>
  <c r="G18" i="18" s="1"/>
  <c r="G185" i="6"/>
  <c r="G276" i="5"/>
  <c r="G282" i="5" s="1"/>
  <c r="G22" i="5" s="1"/>
  <c r="S393" i="6"/>
  <c r="S285" i="6"/>
  <c r="L27" i="7"/>
  <c r="N27" i="7" s="1"/>
  <c r="Q27" i="7" s="1"/>
  <c r="I224" i="15"/>
  <c r="I230" i="15" s="1"/>
  <c r="I20" i="15" s="1"/>
  <c r="C30" i="22"/>
  <c r="T44" i="9"/>
  <c r="T43" i="9"/>
  <c r="T36" i="9"/>
  <c r="B8" i="9"/>
  <c r="T37" i="9"/>
  <c r="T46" i="9"/>
  <c r="T42" i="9"/>
  <c r="T35" i="9"/>
  <c r="E48" i="9"/>
  <c r="F50" i="9" s="1"/>
  <c r="F56" i="9" s="1"/>
  <c r="N14" i="21"/>
  <c r="J14" i="21"/>
  <c r="I578" i="5"/>
  <c r="F40" i="5"/>
  <c r="G493" i="5"/>
  <c r="G499" i="5" s="1"/>
  <c r="G40" i="5" s="1"/>
  <c r="F36" i="5"/>
  <c r="T32" i="4"/>
  <c r="T40" i="4"/>
  <c r="T35" i="4"/>
  <c r="T41" i="4"/>
  <c r="T37" i="4"/>
  <c r="B49" i="4"/>
  <c r="T39" i="4"/>
  <c r="T34" i="4"/>
  <c r="E44" i="4"/>
  <c r="F45" i="4" s="1"/>
  <c r="F51" i="4" s="1"/>
  <c r="C46" i="4"/>
  <c r="I46" i="4" s="1"/>
  <c r="C49" i="4"/>
  <c r="C51" i="4"/>
  <c r="C8" i="4" s="1"/>
  <c r="C48" i="4"/>
  <c r="E14" i="22"/>
  <c r="E67" i="22" s="1"/>
  <c r="F86" i="11"/>
  <c r="H34" i="10"/>
  <c r="L29" i="10"/>
  <c r="G211" i="12"/>
  <c r="I211" i="12"/>
  <c r="I217" i="12" s="1"/>
  <c r="I19" i="12" s="1"/>
  <c r="F10" i="14"/>
  <c r="F91" i="14"/>
  <c r="B7" i="18"/>
  <c r="F11" i="18"/>
  <c r="F125" i="18"/>
  <c r="Q153" i="5"/>
  <c r="F523" i="5"/>
  <c r="F525" i="5" s="1"/>
  <c r="I517" i="5"/>
  <c r="I523" i="5" s="1"/>
  <c r="I42" i="5" s="1"/>
  <c r="G517" i="5"/>
  <c r="G85" i="17"/>
  <c r="I85" i="17"/>
  <c r="I91" i="17" s="1"/>
  <c r="I10" i="17" s="1"/>
  <c r="F91" i="17"/>
  <c r="F93" i="17" s="1"/>
  <c r="H193" i="12"/>
  <c r="H17" i="12" s="1"/>
  <c r="G126" i="7"/>
  <c r="H183" i="18"/>
  <c r="H16" i="18" s="1"/>
  <c r="O32" i="22"/>
  <c r="P80" i="3"/>
  <c r="P9" i="3" s="1"/>
  <c r="I72" i="3"/>
  <c r="I78" i="3" s="1"/>
  <c r="I293" i="6"/>
  <c r="I299" i="6" s="1"/>
  <c r="I25" i="6" s="1"/>
  <c r="G293" i="6"/>
  <c r="I138" i="6"/>
  <c r="I143" i="6" s="1"/>
  <c r="I12" i="6" s="1"/>
  <c r="C9" i="22"/>
  <c r="C62" i="22" s="1"/>
  <c r="C107" i="6"/>
  <c r="C9" i="6" s="1"/>
  <c r="C63" i="7"/>
  <c r="C8" i="7" s="1"/>
  <c r="C61" i="7"/>
  <c r="Q251" i="5"/>
  <c r="S508" i="5"/>
  <c r="S520" i="5"/>
  <c r="H198" i="6"/>
  <c r="B68" i="22"/>
  <c r="Q396" i="5"/>
  <c r="I60" i="5"/>
  <c r="G60" i="5"/>
  <c r="I200" i="12"/>
  <c r="H200" i="12"/>
  <c r="I176" i="12"/>
  <c r="H176" i="12"/>
  <c r="H140" i="12"/>
  <c r="I140" i="12"/>
  <c r="I194" i="13"/>
  <c r="I200" i="13" s="1"/>
  <c r="I18" i="13" s="1"/>
  <c r="G194" i="13"/>
  <c r="C80" i="3"/>
  <c r="C9" i="3" s="1"/>
  <c r="C6" i="22"/>
  <c r="C59" i="22" s="1"/>
  <c r="I141" i="9"/>
  <c r="I146" i="9" s="1"/>
  <c r="I14" i="9" s="1"/>
  <c r="H141" i="9"/>
  <c r="J88" i="9"/>
  <c r="J9" i="9" s="1"/>
  <c r="I219" i="13"/>
  <c r="H219" i="13"/>
  <c r="L19" i="17"/>
  <c r="H24" i="17"/>
  <c r="Q215" i="5"/>
  <c r="F489" i="5"/>
  <c r="F39" i="5"/>
  <c r="F230" i="15"/>
  <c r="G224" i="15"/>
  <c r="C7" i="22"/>
  <c r="C60" i="22" s="1"/>
  <c r="C84" i="4"/>
  <c r="C9" i="4" s="1"/>
  <c r="F24" i="6"/>
  <c r="F289" i="6"/>
  <c r="I126" i="10"/>
  <c r="H126" i="10"/>
  <c r="I114" i="16"/>
  <c r="I120" i="16" s="1"/>
  <c r="I12" i="16" s="1"/>
  <c r="G114" i="16"/>
  <c r="I102" i="16"/>
  <c r="I108" i="16" s="1"/>
  <c r="I11" i="16" s="1"/>
  <c r="G102" i="16"/>
  <c r="N20" i="22"/>
  <c r="N73" i="22" s="1"/>
  <c r="O79" i="17"/>
  <c r="O9" i="17" s="1"/>
  <c r="D7" i="4"/>
  <c r="D14" i="4" s="1"/>
  <c r="D5" i="20" s="1"/>
  <c r="D20" i="21"/>
  <c r="Q280" i="6"/>
  <c r="Q196" i="6"/>
  <c r="I57" i="14"/>
  <c r="I63" i="14" s="1"/>
  <c r="G391" i="5"/>
  <c r="G31" i="5" s="1"/>
  <c r="I108" i="4"/>
  <c r="I11" i="4" s="1"/>
  <c r="F35" i="5"/>
  <c r="I258" i="6"/>
  <c r="I263" i="6" s="1"/>
  <c r="I22" i="6" s="1"/>
  <c r="H258" i="6"/>
  <c r="G163" i="12"/>
  <c r="I206" i="13"/>
  <c r="I212" i="13" s="1"/>
  <c r="I19" i="13" s="1"/>
  <c r="F45" i="5"/>
  <c r="F379" i="5"/>
  <c r="I373" i="5"/>
  <c r="G373" i="5"/>
  <c r="H362" i="5"/>
  <c r="I362" i="5"/>
  <c r="I300" i="5"/>
  <c r="G300" i="5"/>
  <c r="I217" i="5"/>
  <c r="C8" i="22"/>
  <c r="C61" i="22" s="1"/>
  <c r="C123" i="5"/>
  <c r="C9" i="5" s="1"/>
  <c r="I85" i="5"/>
  <c r="I341" i="6"/>
  <c r="I347" i="6" s="1"/>
  <c r="I29" i="6" s="1"/>
  <c r="G305" i="6"/>
  <c r="I305" i="6"/>
  <c r="I311" i="6" s="1"/>
  <c r="I26" i="6" s="1"/>
  <c r="H174" i="6"/>
  <c r="I174" i="6"/>
  <c r="I103" i="7"/>
  <c r="F11" i="9"/>
  <c r="H102" i="10"/>
  <c r="I99" i="13"/>
  <c r="H99" i="13"/>
  <c r="B43" i="22"/>
  <c r="B70" i="22" s="1"/>
  <c r="C62" i="15"/>
  <c r="C59" i="15"/>
  <c r="C63" i="15"/>
  <c r="C60" i="15"/>
  <c r="C65" i="15"/>
  <c r="C8" i="15" s="1"/>
  <c r="C41" i="17"/>
  <c r="I41" i="17" s="1"/>
  <c r="C40" i="17"/>
  <c r="H250" i="18"/>
  <c r="I250" i="18"/>
  <c r="I87" i="19"/>
  <c r="I93" i="19" s="1"/>
  <c r="I10" i="19" s="1"/>
  <c r="G87" i="19"/>
  <c r="S468" i="5"/>
  <c r="S474" i="5"/>
  <c r="G237" i="18"/>
  <c r="F243" i="18"/>
  <c r="F21" i="18" s="1"/>
  <c r="Q31" i="19"/>
  <c r="F429" i="5"/>
  <c r="F34" i="5"/>
  <c r="F119" i="6"/>
  <c r="F121" i="6" s="1"/>
  <c r="F11" i="11"/>
  <c r="H128" i="12"/>
  <c r="I142" i="5"/>
  <c r="I288" i="5"/>
  <c r="I223" i="12"/>
  <c r="I229" i="12" s="1"/>
  <c r="I20" i="12" s="1"/>
  <c r="O7" i="14"/>
  <c r="G365" i="6"/>
  <c r="I91" i="4"/>
  <c r="I96" i="4" s="1"/>
  <c r="I10" i="4" s="1"/>
  <c r="G216" i="5"/>
  <c r="I216" i="5"/>
  <c r="F335" i="6"/>
  <c r="F13" i="9"/>
  <c r="H150" i="10"/>
  <c r="I150" i="10"/>
  <c r="I89" i="12"/>
  <c r="F20" i="12"/>
  <c r="I158" i="13"/>
  <c r="I164" i="13" s="1"/>
  <c r="I15" i="13" s="1"/>
  <c r="G158" i="13"/>
  <c r="H135" i="13"/>
  <c r="I164" i="15"/>
  <c r="I170" i="15" s="1"/>
  <c r="I15" i="15" s="1"/>
  <c r="G164" i="15"/>
  <c r="N44" i="22"/>
  <c r="N71" i="22" s="1"/>
  <c r="C47" i="22"/>
  <c r="C74" i="22" s="1"/>
  <c r="C99" i="18"/>
  <c r="C9" i="18" s="1"/>
  <c r="Q432" i="5"/>
  <c r="D16" i="22"/>
  <c r="D69" i="22" s="1"/>
  <c r="D92" i="13"/>
  <c r="D9" i="13" s="1"/>
  <c r="D59" i="22"/>
  <c r="F10" i="19"/>
  <c r="K7" i="15"/>
  <c r="J31" i="21"/>
  <c r="D7" i="16"/>
  <c r="D14" i="16" s="1"/>
  <c r="D17" i="20" s="1"/>
  <c r="D32" i="21"/>
  <c r="G228" i="5"/>
  <c r="G115" i="5"/>
  <c r="I115" i="5"/>
  <c r="I121" i="5" s="1"/>
  <c r="H34" i="22" s="1"/>
  <c r="N46" i="6"/>
  <c r="Q46" i="6" s="1"/>
  <c r="K11" i="21"/>
  <c r="H9" i="21"/>
  <c r="F17" i="6"/>
  <c r="F205" i="6"/>
  <c r="N11" i="22"/>
  <c r="N64" i="22" s="1"/>
  <c r="O77" i="8"/>
  <c r="O9" i="8" s="1"/>
  <c r="F102" i="9"/>
  <c r="F10" i="9"/>
  <c r="B95" i="10"/>
  <c r="S81" i="10" s="1"/>
  <c r="F169" i="12"/>
  <c r="I163" i="12"/>
  <c r="F123" i="12"/>
  <c r="F11" i="12"/>
  <c r="N41" i="22"/>
  <c r="N68" i="22" s="1"/>
  <c r="O97" i="12"/>
  <c r="O9" i="12" s="1"/>
  <c r="I83" i="14"/>
  <c r="I89" i="14" s="1"/>
  <c r="I10" i="14" s="1"/>
  <c r="G83" i="14"/>
  <c r="B77" i="14"/>
  <c r="B9" i="14" s="1"/>
  <c r="N456" i="5"/>
  <c r="N32" i="12"/>
  <c r="Q32" i="12" s="1"/>
  <c r="K12" i="21"/>
  <c r="Q46" i="15"/>
  <c r="F267" i="18"/>
  <c r="G261" i="18"/>
  <c r="F207" i="18"/>
  <c r="I201" i="18"/>
  <c r="I207" i="18" s="1"/>
  <c r="I18" i="18" s="1"/>
  <c r="I91" i="18"/>
  <c r="I97" i="18" s="1"/>
  <c r="H47" i="22" s="1"/>
  <c r="I38" i="18"/>
  <c r="F224" i="5"/>
  <c r="F17" i="5"/>
  <c r="F463" i="5"/>
  <c r="F37" i="5" s="1"/>
  <c r="I457" i="5"/>
  <c r="I463" i="5" s="1"/>
  <c r="I37" i="5" s="1"/>
  <c r="G457" i="5"/>
  <c r="F571" i="5"/>
  <c r="I565" i="5"/>
  <c r="I571" i="5" s="1"/>
  <c r="I46" i="5" s="1"/>
  <c r="F323" i="6"/>
  <c r="I317" i="6"/>
  <c r="I323" i="6" s="1"/>
  <c r="I27" i="6" s="1"/>
  <c r="G317" i="6"/>
  <c r="F275" i="6"/>
  <c r="G149" i="6"/>
  <c r="F155" i="6"/>
  <c r="I149" i="6"/>
  <c r="I155" i="6" s="1"/>
  <c r="I13" i="6" s="1"/>
  <c r="G91" i="18"/>
  <c r="G242" i="13"/>
  <c r="I115" i="12"/>
  <c r="I121" i="12" s="1"/>
  <c r="I11" i="12" s="1"/>
  <c r="G223" i="12"/>
  <c r="I269" i="6"/>
  <c r="I275" i="6" s="1"/>
  <c r="I23" i="6" s="1"/>
  <c r="H123" i="3"/>
  <c r="I123" i="3"/>
  <c r="I128" i="3" s="1"/>
  <c r="I13" i="3" s="1"/>
  <c r="I86" i="3"/>
  <c r="I92" i="3" s="1"/>
  <c r="I10" i="3" s="1"/>
  <c r="G86" i="3"/>
  <c r="C42" i="3"/>
  <c r="I42" i="3" s="1"/>
  <c r="C45" i="3"/>
  <c r="C41" i="3"/>
  <c r="C47" i="3"/>
  <c r="C8" i="3" s="1"/>
  <c r="G541" i="5"/>
  <c r="F547" i="5"/>
  <c r="G433" i="5"/>
  <c r="I433" i="5"/>
  <c r="I439" i="5" s="1"/>
  <c r="I35" i="5" s="1"/>
  <c r="I386" i="5"/>
  <c r="I210" i="6"/>
  <c r="H210" i="6"/>
  <c r="G125" i="6"/>
  <c r="I125" i="6"/>
  <c r="I131" i="6" s="1"/>
  <c r="I11" i="6" s="1"/>
  <c r="H88" i="6"/>
  <c r="I88" i="6"/>
  <c r="F361" i="6"/>
  <c r="F30" i="6"/>
  <c r="I163" i="7"/>
  <c r="O23" i="21"/>
  <c r="P7" i="7"/>
  <c r="C8" i="9"/>
  <c r="I78" i="11"/>
  <c r="I84" i="11" s="1"/>
  <c r="G78" i="11"/>
  <c r="F159" i="12"/>
  <c r="F14" i="12"/>
  <c r="G77" i="12"/>
  <c r="O92" i="13"/>
  <c r="O9" i="13" s="1"/>
  <c r="O25" i="13" s="1"/>
  <c r="N14" i="20" s="1"/>
  <c r="N42" i="22"/>
  <c r="N69" i="22" s="1"/>
  <c r="F12" i="13"/>
  <c r="F130" i="13"/>
  <c r="F64" i="13"/>
  <c r="G64" i="13" s="1"/>
  <c r="I91" i="15"/>
  <c r="H91" i="15"/>
  <c r="B19" i="15"/>
  <c r="F220" i="15"/>
  <c r="N72" i="22"/>
  <c r="H38" i="18"/>
  <c r="L33" i="18"/>
  <c r="N33" i="18" s="1"/>
  <c r="Q33" i="18" s="1"/>
  <c r="F24" i="18"/>
  <c r="F281" i="18"/>
  <c r="J14" i="22"/>
  <c r="J67" i="22" s="1"/>
  <c r="K86" i="11"/>
  <c r="K9" i="11" s="1"/>
  <c r="J9" i="22"/>
  <c r="J62" i="22" s="1"/>
  <c r="K107" i="6"/>
  <c r="K9" i="6" s="1"/>
  <c r="N82" i="11"/>
  <c r="E40" i="3"/>
  <c r="F41" i="3" s="1"/>
  <c r="B47" i="3"/>
  <c r="B8" i="3" s="1"/>
  <c r="T33" i="3"/>
  <c r="T35" i="3"/>
  <c r="T37" i="3"/>
  <c r="T34" i="3"/>
  <c r="Q34" i="4"/>
  <c r="L44" i="4"/>
  <c r="S309" i="6"/>
  <c r="F94" i="3"/>
  <c r="I602" i="5"/>
  <c r="I209" i="6"/>
  <c r="B16" i="6"/>
  <c r="F193" i="6"/>
  <c r="C96" i="7"/>
  <c r="C9" i="7" s="1"/>
  <c r="O24" i="21"/>
  <c r="N117" i="9"/>
  <c r="I94" i="9"/>
  <c r="I100" i="9" s="1"/>
  <c r="I10" i="9" s="1"/>
  <c r="G94" i="9"/>
  <c r="C61" i="12"/>
  <c r="C62" i="12"/>
  <c r="C59" i="12"/>
  <c r="C64" i="12"/>
  <c r="C8" i="12" s="1"/>
  <c r="I122" i="13"/>
  <c r="C59" i="13"/>
  <c r="C8" i="13" s="1"/>
  <c r="F178" i="13"/>
  <c r="F20" i="18"/>
  <c r="B13" i="18"/>
  <c r="F149" i="18"/>
  <c r="G359" i="6"/>
  <c r="G30" i="6" s="1"/>
  <c r="Q55" i="6"/>
  <c r="N67" i="6"/>
  <c r="N43" i="10"/>
  <c r="L55" i="10"/>
  <c r="N46" i="11"/>
  <c r="Q41" i="12"/>
  <c r="F106" i="3"/>
  <c r="F11" i="3"/>
  <c r="F11" i="4"/>
  <c r="F110" i="4"/>
  <c r="I494" i="5"/>
  <c r="I499" i="5" s="1"/>
  <c r="I40" i="5" s="1"/>
  <c r="H494" i="5"/>
  <c r="F619" i="5"/>
  <c r="F29" i="6"/>
  <c r="F349" i="6"/>
  <c r="G198" i="7"/>
  <c r="I198" i="7"/>
  <c r="I204" i="7" s="1"/>
  <c r="I18" i="7" s="1"/>
  <c r="P77" i="8"/>
  <c r="P9" i="8" s="1"/>
  <c r="P11" i="8" s="1"/>
  <c r="O9" i="20" s="1"/>
  <c r="C13" i="22"/>
  <c r="C66" i="22" s="1"/>
  <c r="C9" i="10"/>
  <c r="F205" i="12"/>
  <c r="F207" i="12" s="1"/>
  <c r="G199" i="12"/>
  <c r="I199" i="12"/>
  <c r="F135" i="12"/>
  <c r="F12" i="12"/>
  <c r="C46" i="22"/>
  <c r="C73" i="22" s="1"/>
  <c r="C79" i="17"/>
  <c r="C9" i="17" s="1"/>
  <c r="N83" i="5"/>
  <c r="I35" i="21"/>
  <c r="J7" i="19"/>
  <c r="O7" i="5"/>
  <c r="L19" i="21"/>
  <c r="M7" i="3"/>
  <c r="D7" i="6"/>
  <c r="D37" i="6" s="1"/>
  <c r="D7" i="20" s="1"/>
  <c r="D22" i="21"/>
  <c r="X11" i="8"/>
  <c r="I209" i="10"/>
  <c r="I215" i="10" s="1"/>
  <c r="I19" i="10" s="1"/>
  <c r="F215" i="10"/>
  <c r="L46" i="11"/>
  <c r="N20" i="11"/>
  <c r="K7" i="21"/>
  <c r="B48" i="11"/>
  <c r="B47" i="11"/>
  <c r="T36" i="11"/>
  <c r="T40" i="11"/>
  <c r="T44" i="11"/>
  <c r="B51" i="11"/>
  <c r="B53" i="11"/>
  <c r="B8" i="11" s="1"/>
  <c r="T33" i="11"/>
  <c r="T37" i="11"/>
  <c r="T41" i="11"/>
  <c r="F137" i="5"/>
  <c r="F10" i="5"/>
  <c r="F583" i="5"/>
  <c r="E20" i="21"/>
  <c r="J28" i="21"/>
  <c r="J22" i="21"/>
  <c r="K7" i="6"/>
  <c r="I20" i="21"/>
  <c r="J7" i="4"/>
  <c r="D7" i="8"/>
  <c r="D11" i="8" s="1"/>
  <c r="D9" i="20" s="1"/>
  <c r="D24" i="21"/>
  <c r="B69" i="6"/>
  <c r="H69" i="6" s="1"/>
  <c r="B68" i="6"/>
  <c r="B74" i="6" s="1"/>
  <c r="B8" i="6" s="1"/>
  <c r="N34" i="9"/>
  <c r="L48" i="9"/>
  <c r="F28" i="4"/>
  <c r="G577" i="5"/>
  <c r="G553" i="5"/>
  <c r="C62" i="10"/>
  <c r="C8" i="10" s="1"/>
  <c r="I28" i="12"/>
  <c r="F34" i="12"/>
  <c r="G69" i="14"/>
  <c r="B81" i="19"/>
  <c r="I142" i="18"/>
  <c r="I147" i="18" s="1"/>
  <c r="I13" i="18" s="1"/>
  <c r="H142" i="18"/>
  <c r="N34" i="21"/>
  <c r="O7" i="18"/>
  <c r="D7" i="10"/>
  <c r="D22" i="10" s="1"/>
  <c r="D11" i="20" s="1"/>
  <c r="D26" i="21"/>
  <c r="L40" i="3"/>
  <c r="G31" i="13"/>
  <c r="I31" i="13"/>
  <c r="I37" i="13" s="1"/>
  <c r="F37" i="13"/>
  <c r="I186" i="6"/>
  <c r="I191" i="6" s="1"/>
  <c r="I16" i="6" s="1"/>
  <c r="H186" i="6"/>
  <c r="L27" i="21"/>
  <c r="M7" i="11"/>
  <c r="I14" i="21"/>
  <c r="H7" i="7"/>
  <c r="L67" i="6"/>
  <c r="X12" i="11"/>
  <c r="N34" i="17"/>
  <c r="L39" i="17"/>
  <c r="E67" i="6"/>
  <c r="I26" i="7"/>
  <c r="I32" i="7" s="1"/>
  <c r="G26" i="7"/>
  <c r="B38" i="14"/>
  <c r="B39" i="14"/>
  <c r="E37" i="14"/>
  <c r="F38" i="14" s="1"/>
  <c r="G118" i="11"/>
  <c r="I23" i="8"/>
  <c r="I66" i="11"/>
  <c r="C38" i="14"/>
  <c r="C39" i="14"/>
  <c r="I39" i="14" s="1"/>
  <c r="B46" i="16"/>
  <c r="H46" i="16" s="1"/>
  <c r="E44" i="16"/>
  <c r="F45" i="16" s="1"/>
  <c r="B45" i="16"/>
  <c r="G130" i="11"/>
  <c r="B40" i="17"/>
  <c r="B41" i="17"/>
  <c r="F31" i="5"/>
  <c r="G249" i="18"/>
  <c r="I61" i="19"/>
  <c r="I90" i="16"/>
  <c r="G129" i="18"/>
  <c r="F95" i="5"/>
  <c r="T55" i="7" l="1"/>
  <c r="H475" i="5"/>
  <c r="H38" i="5" s="1"/>
  <c r="G221" i="10"/>
  <c r="G227" i="10" s="1"/>
  <c r="G20" i="10" s="1"/>
  <c r="I221" i="10"/>
  <c r="I38" i="8"/>
  <c r="I44" i="8" s="1"/>
  <c r="I8" i="8" s="1"/>
  <c r="F44" i="8"/>
  <c r="F8" i="8" s="1"/>
  <c r="L83" i="18"/>
  <c r="N83" i="18" s="1"/>
  <c r="Q83" i="18" s="1"/>
  <c r="L80" i="16"/>
  <c r="N80" i="16" s="1"/>
  <c r="Q80" i="16" s="1"/>
  <c r="H146" i="15"/>
  <c r="H13" i="15" s="1"/>
  <c r="L171" i="13"/>
  <c r="N171" i="13" s="1"/>
  <c r="Q171" i="13" s="1"/>
  <c r="J83" i="12"/>
  <c r="F20" i="10"/>
  <c r="L174" i="10"/>
  <c r="N174" i="10" s="1"/>
  <c r="Q174" i="10" s="1"/>
  <c r="X11" i="9"/>
  <c r="L103" i="6"/>
  <c r="N103" i="6" s="1"/>
  <c r="Q103" i="6" s="1"/>
  <c r="S102" i="6" s="1"/>
  <c r="L153" i="15"/>
  <c r="S79" i="10"/>
  <c r="F170" i="7"/>
  <c r="E53" i="19"/>
  <c r="G53" i="19"/>
  <c r="H7" i="3"/>
  <c r="O14" i="16"/>
  <c r="N17" i="20" s="1"/>
  <c r="L250" i="18"/>
  <c r="N250" i="18" s="1"/>
  <c r="Q250" i="18" s="1"/>
  <c r="H212" i="13"/>
  <c r="H19" i="13" s="1"/>
  <c r="L111" i="13"/>
  <c r="N111" i="13" s="1"/>
  <c r="Q111" i="13" s="1"/>
  <c r="I169" i="12"/>
  <c r="I15" i="12" s="1"/>
  <c r="L95" i="9"/>
  <c r="N95" i="9" s="1"/>
  <c r="Q95" i="9" s="1"/>
  <c r="L99" i="6"/>
  <c r="L249" i="18"/>
  <c r="L164" i="12"/>
  <c r="N164" i="12" s="1"/>
  <c r="Q164" i="12" s="1"/>
  <c r="F23" i="15"/>
  <c r="F196" i="15"/>
  <c r="O22" i="12"/>
  <c r="N13" i="20" s="1"/>
  <c r="I155" i="10"/>
  <c r="I14" i="10" s="1"/>
  <c r="L75" i="10"/>
  <c r="N75" i="10" s="1"/>
  <c r="L342" i="6"/>
  <c r="N342" i="6" s="1"/>
  <c r="Q342" i="6" s="1"/>
  <c r="L150" i="6"/>
  <c r="N150" i="6" s="1"/>
  <c r="Q150" i="6" s="1"/>
  <c r="I105" i="6"/>
  <c r="H35" i="22" s="1"/>
  <c r="G469" i="5"/>
  <c r="G475" i="5" s="1"/>
  <c r="G38" i="5" s="1"/>
  <c r="L73" i="3"/>
  <c r="N73" i="3" s="1"/>
  <c r="Q73" i="3" s="1"/>
  <c r="L518" i="5"/>
  <c r="N518" i="5" s="1"/>
  <c r="Q518" i="5" s="1"/>
  <c r="I469" i="5"/>
  <c r="I475" i="5" s="1"/>
  <c r="I38" i="5" s="1"/>
  <c r="P37" i="6"/>
  <c r="O7" i="20" s="1"/>
  <c r="I306" i="5"/>
  <c r="I24" i="5" s="1"/>
  <c r="L255" i="13"/>
  <c r="N255" i="13" s="1"/>
  <c r="Q255" i="13" s="1"/>
  <c r="I179" i="6"/>
  <c r="I15" i="6" s="1"/>
  <c r="T41" i="19"/>
  <c r="F238" i="13"/>
  <c r="F21" i="13"/>
  <c r="M12" i="21"/>
  <c r="M7" i="21"/>
  <c r="F253" i="6"/>
  <c r="F21" i="6"/>
  <c r="M11" i="21"/>
  <c r="L167" i="5"/>
  <c r="N167" i="5" s="1"/>
  <c r="Q167" i="5" s="1"/>
  <c r="I218" i="13"/>
  <c r="I224" i="13" s="1"/>
  <c r="I20" i="13" s="1"/>
  <c r="L162" i="10"/>
  <c r="N162" i="10" s="1"/>
  <c r="Q162" i="10" s="1"/>
  <c r="G218" i="13"/>
  <c r="G224" i="13" s="1"/>
  <c r="G20" i="13" s="1"/>
  <c r="L166" i="5"/>
  <c r="N166" i="5" s="1"/>
  <c r="Q35" i="17"/>
  <c r="P39" i="17"/>
  <c r="P46" i="17" s="1"/>
  <c r="P8" i="17" s="1"/>
  <c r="I61" i="18"/>
  <c r="L61" i="18" s="1"/>
  <c r="N61" i="18" s="1"/>
  <c r="Q61" i="18" s="1"/>
  <c r="L91" i="16"/>
  <c r="N91" i="16" s="1"/>
  <c r="Q91" i="16" s="1"/>
  <c r="O16" i="9"/>
  <c r="N10" i="20" s="1"/>
  <c r="L22" i="3"/>
  <c r="N22" i="3" s="1"/>
  <c r="H227" i="6"/>
  <c r="H19" i="6" s="1"/>
  <c r="N40" i="3"/>
  <c r="Q40" i="3" s="1"/>
  <c r="S15" i="3" s="1"/>
  <c r="F20" i="13"/>
  <c r="F226" i="13"/>
  <c r="F477" i="5"/>
  <c r="F38" i="5"/>
  <c r="G28" i="9"/>
  <c r="G7" i="9" s="1"/>
  <c r="L195" i="13"/>
  <c r="N195" i="13" s="1"/>
  <c r="Q195" i="13" s="1"/>
  <c r="L177" i="15"/>
  <c r="N177" i="15" s="1"/>
  <c r="Q177" i="15" s="1"/>
  <c r="H49" i="6"/>
  <c r="H7" i="6" s="1"/>
  <c r="L110" i="3"/>
  <c r="N110" i="3" s="1"/>
  <c r="Q110" i="3" s="1"/>
  <c r="H194" i="15"/>
  <c r="H17" i="15" s="1"/>
  <c r="T37" i="8"/>
  <c r="O25" i="15"/>
  <c r="N16" i="20" s="1"/>
  <c r="I583" i="5"/>
  <c r="I47" i="5" s="1"/>
  <c r="L262" i="18"/>
  <c r="N262" i="18" s="1"/>
  <c r="Q262" i="18" s="1"/>
  <c r="L389" i="6"/>
  <c r="N389" i="6" s="1"/>
  <c r="Q389" i="6" s="1"/>
  <c r="L159" i="13"/>
  <c r="N159" i="13" s="1"/>
  <c r="Q159" i="13" s="1"/>
  <c r="S83" i="18"/>
  <c r="K83" i="12"/>
  <c r="M66" i="3"/>
  <c r="S64" i="3"/>
  <c r="Q44" i="18"/>
  <c r="F289" i="18" s="1"/>
  <c r="F293" i="18" s="1"/>
  <c r="K82" i="16"/>
  <c r="J45" i="22" s="1"/>
  <c r="H218" i="15"/>
  <c r="H19" i="15" s="1"/>
  <c r="L213" i="15"/>
  <c r="N213" i="15" s="1"/>
  <c r="T44" i="16"/>
  <c r="T48" i="9"/>
  <c r="F7" i="6"/>
  <c r="F37" i="6" s="1"/>
  <c r="E7" i="20" s="1"/>
  <c r="H287" i="6"/>
  <c r="H24" i="6" s="1"/>
  <c r="G113" i="10"/>
  <c r="G119" i="10" s="1"/>
  <c r="G11" i="10" s="1"/>
  <c r="I113" i="10"/>
  <c r="I119" i="10" s="1"/>
  <c r="I11" i="10" s="1"/>
  <c r="G56" i="10"/>
  <c r="G62" i="10" s="1"/>
  <c r="G8" i="10" s="1"/>
  <c r="H28" i="17"/>
  <c r="H50" i="17" s="1"/>
  <c r="H30" i="16"/>
  <c r="H55" i="16" s="1"/>
  <c r="F124" i="15"/>
  <c r="L84" i="14"/>
  <c r="N84" i="14" s="1"/>
  <c r="Q84" i="14" s="1"/>
  <c r="H28" i="14"/>
  <c r="H48" i="14" s="1"/>
  <c r="L231" i="13"/>
  <c r="N231" i="13" s="1"/>
  <c r="Q231" i="13" s="1"/>
  <c r="F214" i="13"/>
  <c r="H41" i="13"/>
  <c r="H63" i="13" s="1"/>
  <c r="H38" i="12"/>
  <c r="H31" i="11"/>
  <c r="I227" i="10"/>
  <c r="I20" i="10" s="1"/>
  <c r="H38" i="10"/>
  <c r="H32" i="9"/>
  <c r="L39" i="8"/>
  <c r="N39" i="8" s="1"/>
  <c r="Q39" i="8" s="1"/>
  <c r="H27" i="8"/>
  <c r="H36" i="7"/>
  <c r="H53" i="6"/>
  <c r="H70" i="5"/>
  <c r="H30" i="4"/>
  <c r="H31" i="3"/>
  <c r="H51" i="3" s="1"/>
  <c r="H28" i="19"/>
  <c r="H52" i="19" s="1"/>
  <c r="F11" i="10"/>
  <c r="F121" i="10"/>
  <c r="F24" i="14"/>
  <c r="E30" i="21" s="1"/>
  <c r="G18" i="14"/>
  <c r="G24" i="14" s="1"/>
  <c r="I168" i="7"/>
  <c r="I15" i="7" s="1"/>
  <c r="F90" i="5"/>
  <c r="F98" i="5" s="1"/>
  <c r="L233" i="6"/>
  <c r="N233" i="6" s="1"/>
  <c r="L105" i="18"/>
  <c r="G96" i="4"/>
  <c r="G10" i="4" s="1"/>
  <c r="L115" i="16"/>
  <c r="N115" i="16" s="1"/>
  <c r="Q115" i="16" s="1"/>
  <c r="H266" i="15"/>
  <c r="H23" i="15" s="1"/>
  <c r="L107" i="9"/>
  <c r="N107" i="9" s="1"/>
  <c r="Q107" i="9" s="1"/>
  <c r="I96" i="15"/>
  <c r="H44" i="22" s="1"/>
  <c r="H71" i="22" s="1"/>
  <c r="L257" i="6"/>
  <c r="N257" i="6" s="1"/>
  <c r="L234" i="6"/>
  <c r="N234" i="6" s="1"/>
  <c r="Q234" i="6" s="1"/>
  <c r="S81" i="12"/>
  <c r="G111" i="18"/>
  <c r="G10" i="18" s="1"/>
  <c r="J11" i="8"/>
  <c r="I9" i="20" s="1"/>
  <c r="L88" i="7"/>
  <c r="N88" i="7" s="1"/>
  <c r="P82" i="16"/>
  <c r="O45" i="22" s="1"/>
  <c r="K66" i="3"/>
  <c r="S93" i="6"/>
  <c r="L146" i="13"/>
  <c r="N146" i="13" s="1"/>
  <c r="L117" i="15"/>
  <c r="N117" i="15" s="1"/>
  <c r="Q117" i="15" s="1"/>
  <c r="L105" i="15"/>
  <c r="N105" i="15" s="1"/>
  <c r="Q105" i="15" s="1"/>
  <c r="I134" i="15"/>
  <c r="I12" i="15" s="1"/>
  <c r="L58" i="8"/>
  <c r="N58" i="8" s="1"/>
  <c r="Q58" i="8" s="1"/>
  <c r="H85" i="5"/>
  <c r="L85" i="5" s="1"/>
  <c r="N85" i="5" s="1"/>
  <c r="Q85" i="5" s="1"/>
  <c r="L111" i="3"/>
  <c r="N111" i="3" s="1"/>
  <c r="I181" i="12"/>
  <c r="I16" i="12" s="1"/>
  <c r="I116" i="3"/>
  <c r="I12" i="3" s="1"/>
  <c r="B9" i="3"/>
  <c r="L123" i="13"/>
  <c r="N123" i="13" s="1"/>
  <c r="Q123" i="13" s="1"/>
  <c r="L207" i="13"/>
  <c r="N207" i="13" s="1"/>
  <c r="Q207" i="13" s="1"/>
  <c r="L114" i="10"/>
  <c r="N114" i="10" s="1"/>
  <c r="Q114" i="10" s="1"/>
  <c r="S82" i="4"/>
  <c r="S70" i="4"/>
  <c r="H123" i="18"/>
  <c r="H11" i="18" s="1"/>
  <c r="L90" i="12"/>
  <c r="N90" i="12" s="1"/>
  <c r="Q90" i="12" s="1"/>
  <c r="L95" i="11"/>
  <c r="N95" i="11" s="1"/>
  <c r="Q95" i="11" s="1"/>
  <c r="L186" i="10"/>
  <c r="N186" i="10" s="1"/>
  <c r="Q186" i="10" s="1"/>
  <c r="L306" i="6"/>
  <c r="N306" i="6" s="1"/>
  <c r="Q306" i="6" s="1"/>
  <c r="L175" i="12"/>
  <c r="N175" i="12" s="1"/>
  <c r="F51" i="6"/>
  <c r="I206" i="15"/>
  <c r="I18" i="15" s="1"/>
  <c r="L127" i="7"/>
  <c r="N127" i="7" s="1"/>
  <c r="Q127" i="7" s="1"/>
  <c r="H131" i="6"/>
  <c r="H11" i="6" s="1"/>
  <c r="I93" i="6"/>
  <c r="H9" i="22" s="1"/>
  <c r="L241" i="5"/>
  <c r="N241" i="5" s="1"/>
  <c r="Q241" i="5" s="1"/>
  <c r="L131" i="11"/>
  <c r="N131" i="11" s="1"/>
  <c r="Q131" i="11" s="1"/>
  <c r="L17" i="8"/>
  <c r="N17" i="8" s="1"/>
  <c r="L253" i="5"/>
  <c r="N253" i="5" s="1"/>
  <c r="Q253" i="5" s="1"/>
  <c r="L18" i="17"/>
  <c r="N18" i="17" s="1"/>
  <c r="Q18" i="17" s="1"/>
  <c r="H230" i="15"/>
  <c r="H20" i="15" s="1"/>
  <c r="H217" i="12"/>
  <c r="H19" i="12" s="1"/>
  <c r="H176" i="13"/>
  <c r="H16" i="13" s="1"/>
  <c r="I260" i="13"/>
  <c r="I23" i="13" s="1"/>
  <c r="L589" i="5"/>
  <c r="N589" i="5" s="1"/>
  <c r="L57" i="8"/>
  <c r="N57" i="8" s="1"/>
  <c r="S78" i="3"/>
  <c r="L138" i="7"/>
  <c r="N138" i="7" s="1"/>
  <c r="L119" i="11"/>
  <c r="N119" i="11" s="1"/>
  <c r="Q119" i="11" s="1"/>
  <c r="L162" i="7"/>
  <c r="N162" i="7" s="1"/>
  <c r="G124" i="9"/>
  <c r="G12" i="9" s="1"/>
  <c r="L221" i="6"/>
  <c r="N221" i="6" s="1"/>
  <c r="I145" i="12"/>
  <c r="I13" i="12" s="1"/>
  <c r="L128" i="15"/>
  <c r="N128" i="15" s="1"/>
  <c r="Q128" i="15" s="1"/>
  <c r="L188" i="15"/>
  <c r="N188" i="15" s="1"/>
  <c r="Q188" i="15" s="1"/>
  <c r="Q194" i="15" s="1"/>
  <c r="Q17" i="15" s="1"/>
  <c r="L265" i="5"/>
  <c r="N265" i="5" s="1"/>
  <c r="Q265" i="5" s="1"/>
  <c r="L422" i="5"/>
  <c r="N422" i="5" s="1"/>
  <c r="Q422" i="5" s="1"/>
  <c r="L200" i="15"/>
  <c r="N200" i="15" s="1"/>
  <c r="F10" i="12"/>
  <c r="H135" i="18"/>
  <c r="H12" i="18" s="1"/>
  <c r="F30" i="9"/>
  <c r="B9" i="6"/>
  <c r="L18" i="8"/>
  <c r="N18" i="8" s="1"/>
  <c r="Q18" i="8" s="1"/>
  <c r="F7" i="9"/>
  <c r="F16" i="9" s="1"/>
  <c r="E10" i="20" s="1"/>
  <c r="B9" i="12"/>
  <c r="I95" i="12"/>
  <c r="H41" i="22" s="1"/>
  <c r="S95" i="12"/>
  <c r="L210" i="10"/>
  <c r="N210" i="10" s="1"/>
  <c r="Q210" i="10" s="1"/>
  <c r="L107" i="11"/>
  <c r="N107" i="11" s="1"/>
  <c r="Q107" i="11" s="1"/>
  <c r="G47" i="11"/>
  <c r="G53" i="11" s="1"/>
  <c r="G8" i="11" s="1"/>
  <c r="L274" i="18"/>
  <c r="N274" i="18" s="1"/>
  <c r="Q274" i="18" s="1"/>
  <c r="L270" i="6"/>
  <c r="N270" i="6" s="1"/>
  <c r="Q270" i="6" s="1"/>
  <c r="F26" i="19"/>
  <c r="L222" i="10"/>
  <c r="N222" i="10" s="1"/>
  <c r="Q222" i="10" s="1"/>
  <c r="E35" i="21"/>
  <c r="L106" i="11"/>
  <c r="N106" i="11" s="1"/>
  <c r="I140" i="13"/>
  <c r="I13" i="13" s="1"/>
  <c r="L18" i="19"/>
  <c r="N18" i="19" s="1"/>
  <c r="Q18" i="19" s="1"/>
  <c r="Q24" i="19" s="1"/>
  <c r="Q7" i="19" s="1"/>
  <c r="H547" i="5"/>
  <c r="H44" i="5" s="1"/>
  <c r="L119" i="9"/>
  <c r="N119" i="9" s="1"/>
  <c r="Q119" i="9" s="1"/>
  <c r="I379" i="5"/>
  <c r="I30" i="5" s="1"/>
  <c r="L281" i="6"/>
  <c r="N281" i="6" s="1"/>
  <c r="L73" i="19"/>
  <c r="N73" i="19" s="1"/>
  <c r="Q73" i="19" s="1"/>
  <c r="F16" i="12"/>
  <c r="I255" i="18"/>
  <c r="I22" i="18" s="1"/>
  <c r="L138" i="10"/>
  <c r="N138" i="10" s="1"/>
  <c r="Q138" i="10" s="1"/>
  <c r="L114" i="6"/>
  <c r="N114" i="6" s="1"/>
  <c r="Q114" i="6" s="1"/>
  <c r="H251" i="6"/>
  <c r="H21" i="6" s="1"/>
  <c r="L98" i="3"/>
  <c r="N98" i="3" s="1"/>
  <c r="L337" i="5"/>
  <c r="N337" i="5" s="1"/>
  <c r="Q337" i="5" s="1"/>
  <c r="H108" i="16"/>
  <c r="H11" i="16" s="1"/>
  <c r="H43" i="19"/>
  <c r="H48" i="19" s="1"/>
  <c r="H8" i="19" s="1"/>
  <c r="H294" i="5"/>
  <c r="H23" i="5" s="1"/>
  <c r="M105" i="6"/>
  <c r="L35" i="22" s="1"/>
  <c r="L139" i="12"/>
  <c r="N139" i="12" s="1"/>
  <c r="H242" i="15"/>
  <c r="H21" i="15" s="1"/>
  <c r="P16" i="9"/>
  <c r="O10" i="20" s="1"/>
  <c r="H186" i="5"/>
  <c r="H14" i="5" s="1"/>
  <c r="H318" i="5"/>
  <c r="H25" i="5" s="1"/>
  <c r="H323" i="6"/>
  <c r="H27" i="6" s="1"/>
  <c r="L182" i="13"/>
  <c r="N182" i="13" s="1"/>
  <c r="S80" i="7"/>
  <c r="F262" i="13"/>
  <c r="F7" i="11"/>
  <c r="F15" i="11" s="1"/>
  <c r="E12" i="20" s="1"/>
  <c r="L176" i="15"/>
  <c r="N176" i="15" s="1"/>
  <c r="F25" i="8"/>
  <c r="F7" i="8"/>
  <c r="F11" i="8" s="1"/>
  <c r="E9" i="20" s="1"/>
  <c r="I7" i="14"/>
  <c r="H30" i="21"/>
  <c r="G128" i="3"/>
  <c r="G13" i="3" s="1"/>
  <c r="L277" i="5"/>
  <c r="N277" i="5" s="1"/>
  <c r="Q277" i="5" s="1"/>
  <c r="O12" i="17"/>
  <c r="N18" i="20" s="1"/>
  <c r="J16" i="9"/>
  <c r="I10" i="20" s="1"/>
  <c r="L94" i="11"/>
  <c r="N94" i="11" s="1"/>
  <c r="Q94" i="11" s="1"/>
  <c r="L110" i="13"/>
  <c r="N110" i="13" s="1"/>
  <c r="L102" i="4"/>
  <c r="N102" i="4" s="1"/>
  <c r="L130" i="5"/>
  <c r="N130" i="5" s="1"/>
  <c r="Q130" i="5" s="1"/>
  <c r="L141" i="5"/>
  <c r="N141" i="5" s="1"/>
  <c r="Q141" i="5" s="1"/>
  <c r="L229" i="5"/>
  <c r="N229" i="5" s="1"/>
  <c r="Q229" i="5" s="1"/>
  <c r="I132" i="7"/>
  <c r="I12" i="7" s="1"/>
  <c r="L264" i="5"/>
  <c r="N264" i="5" s="1"/>
  <c r="Q264" i="5" s="1"/>
  <c r="L90" i="15"/>
  <c r="N90" i="15" s="1"/>
  <c r="Q90" i="15" s="1"/>
  <c r="L413" i="6"/>
  <c r="H188" i="13"/>
  <c r="H17" i="13" s="1"/>
  <c r="T37" i="14"/>
  <c r="L312" i="5"/>
  <c r="N312" i="5" s="1"/>
  <c r="Q312" i="5" s="1"/>
  <c r="Q318" i="5" s="1"/>
  <c r="Q25" i="5" s="1"/>
  <c r="F229" i="6"/>
  <c r="L193" i="5"/>
  <c r="N193" i="5" s="1"/>
  <c r="Q193" i="5" s="1"/>
  <c r="I231" i="18"/>
  <c r="I20" i="18" s="1"/>
  <c r="L60" i="18"/>
  <c r="I270" i="5"/>
  <c r="I21" i="5" s="1"/>
  <c r="I40" i="17"/>
  <c r="I46" i="17" s="1"/>
  <c r="I8" i="17" s="1"/>
  <c r="L374" i="5"/>
  <c r="N374" i="5" s="1"/>
  <c r="Q374" i="5" s="1"/>
  <c r="B9" i="7"/>
  <c r="L377" i="6"/>
  <c r="N377" i="6" s="1"/>
  <c r="L170" i="13"/>
  <c r="N170" i="13" s="1"/>
  <c r="N176" i="13" s="1"/>
  <c r="N16" i="13" s="1"/>
  <c r="G84" i="5"/>
  <c r="G90" i="5" s="1"/>
  <c r="G8" i="5" s="1"/>
  <c r="L201" i="15"/>
  <c r="N201" i="15" s="1"/>
  <c r="Q201" i="15" s="1"/>
  <c r="L301" i="5"/>
  <c r="N301" i="5" s="1"/>
  <c r="Q301" i="5" s="1"/>
  <c r="H335" i="6"/>
  <c r="H28" i="6" s="1"/>
  <c r="L141" i="18"/>
  <c r="N141" i="18" s="1"/>
  <c r="O11" i="8"/>
  <c r="N9" i="20" s="1"/>
  <c r="L162" i="6"/>
  <c r="N162" i="6" s="1"/>
  <c r="Q162" i="6" s="1"/>
  <c r="I7" i="19"/>
  <c r="H35" i="21"/>
  <c r="F16" i="5"/>
  <c r="L79" i="18"/>
  <c r="N79" i="18" s="1"/>
  <c r="L61" i="5"/>
  <c r="N61" i="5" s="1"/>
  <c r="Q61" i="5" s="1"/>
  <c r="H229" i="12"/>
  <c r="H20" i="12" s="1"/>
  <c r="L254" i="13"/>
  <c r="N254" i="13" s="1"/>
  <c r="L554" i="5"/>
  <c r="N554" i="5" s="1"/>
  <c r="Q554" i="5" s="1"/>
  <c r="H152" i="13"/>
  <c r="H14" i="13" s="1"/>
  <c r="S117" i="6"/>
  <c r="I179" i="10"/>
  <c r="I16" i="10" s="1"/>
  <c r="L84" i="13"/>
  <c r="N84" i="13" s="1"/>
  <c r="Q84" i="13" s="1"/>
  <c r="L530" i="5"/>
  <c r="N530" i="5" s="1"/>
  <c r="Q530" i="5" s="1"/>
  <c r="L154" i="18"/>
  <c r="N154" i="18" s="1"/>
  <c r="Q154" i="18" s="1"/>
  <c r="I180" i="5"/>
  <c r="L116" i="15"/>
  <c r="N116" i="15" s="1"/>
  <c r="L402" i="6"/>
  <c r="N402" i="6" s="1"/>
  <c r="Q402" i="6" s="1"/>
  <c r="L125" i="10"/>
  <c r="N125" i="10" s="1"/>
  <c r="L64" i="4"/>
  <c r="N64" i="4" s="1"/>
  <c r="Q64" i="4" s="1"/>
  <c r="H383" i="6"/>
  <c r="H32" i="6" s="1"/>
  <c r="F9" i="9"/>
  <c r="I84" i="5"/>
  <c r="I90" i="5" s="1"/>
  <c r="I8" i="5" s="1"/>
  <c r="O12" i="19"/>
  <c r="N20" i="20" s="1"/>
  <c r="L64" i="16"/>
  <c r="N64" i="16" s="1"/>
  <c r="Q64" i="16" s="1"/>
  <c r="K15" i="11"/>
  <c r="J12" i="20" s="1"/>
  <c r="F29" i="11"/>
  <c r="G419" i="6"/>
  <c r="G35" i="6" s="1"/>
  <c r="H330" i="5"/>
  <c r="H26" i="5" s="1"/>
  <c r="L221" i="10"/>
  <c r="I183" i="18"/>
  <c r="I16" i="18" s="1"/>
  <c r="F15" i="6"/>
  <c r="L150" i="7"/>
  <c r="N150" i="7" s="1"/>
  <c r="Q150" i="7" s="1"/>
  <c r="L76" i="4"/>
  <c r="N76" i="4" s="1"/>
  <c r="Q76" i="4" s="1"/>
  <c r="L87" i="6"/>
  <c r="N87" i="6" s="1"/>
  <c r="Q87" i="6" s="1"/>
  <c r="S86" i="9"/>
  <c r="B9" i="9"/>
  <c r="L129" i="5"/>
  <c r="N129" i="5" s="1"/>
  <c r="L140" i="9"/>
  <c r="N140" i="9" s="1"/>
  <c r="L161" i="6"/>
  <c r="H170" i="15"/>
  <c r="H15" i="15" s="1"/>
  <c r="G143" i="6"/>
  <c r="G12" i="6" s="1"/>
  <c r="L134" i="13"/>
  <c r="N134" i="13" s="1"/>
  <c r="Q134" i="13" s="1"/>
  <c r="H487" i="5"/>
  <c r="H39" i="5" s="1"/>
  <c r="I75" i="9"/>
  <c r="H12" i="22" s="1"/>
  <c r="G122" i="15"/>
  <c r="G11" i="15" s="1"/>
  <c r="F186" i="5"/>
  <c r="I90" i="13"/>
  <c r="H42" i="22" s="1"/>
  <c r="L198" i="10"/>
  <c r="N198" i="10" s="1"/>
  <c r="Q198" i="10" s="1"/>
  <c r="T57" i="12"/>
  <c r="L505" i="5"/>
  <c r="N505" i="5" s="1"/>
  <c r="Q505" i="5" s="1"/>
  <c r="L70" i="8"/>
  <c r="N70" i="8" s="1"/>
  <c r="Q70" i="8" s="1"/>
  <c r="I159" i="18"/>
  <c r="I14" i="18" s="1"/>
  <c r="L139" i="7"/>
  <c r="N139" i="7" s="1"/>
  <c r="Q139" i="7" s="1"/>
  <c r="I595" i="5"/>
  <c r="I48" i="5" s="1"/>
  <c r="M15" i="11"/>
  <c r="L12" i="20" s="1"/>
  <c r="H72" i="11"/>
  <c r="G14" i="22" s="1"/>
  <c r="G67" i="22" s="1"/>
  <c r="I131" i="10"/>
  <c r="I12" i="10" s="1"/>
  <c r="L106" i="9"/>
  <c r="Q43" i="15"/>
  <c r="Q58" i="15" s="1"/>
  <c r="X7" i="15" s="1"/>
  <c r="W18" i="15" s="1"/>
  <c r="N58" i="15"/>
  <c r="L398" i="5"/>
  <c r="N398" i="5" s="1"/>
  <c r="Q398" i="5" s="1"/>
  <c r="O22" i="10"/>
  <c r="N11" i="20" s="1"/>
  <c r="L152" i="15"/>
  <c r="N152" i="15" s="1"/>
  <c r="Q152" i="15" s="1"/>
  <c r="F7" i="15"/>
  <c r="F25" i="15" s="1"/>
  <c r="E16" i="20" s="1"/>
  <c r="T58" i="15"/>
  <c r="L98" i="13"/>
  <c r="N98" i="13" s="1"/>
  <c r="L152" i="12"/>
  <c r="N152" i="12" s="1"/>
  <c r="Q152" i="12" s="1"/>
  <c r="L104" i="12"/>
  <c r="N104" i="12" s="1"/>
  <c r="Q104" i="12" s="1"/>
  <c r="F8" i="12"/>
  <c r="I58" i="12"/>
  <c r="G58" i="12"/>
  <c r="G64" i="12" s="1"/>
  <c r="G8" i="12" s="1"/>
  <c r="L137" i="10"/>
  <c r="N137" i="10" s="1"/>
  <c r="I107" i="10"/>
  <c r="I10" i="10" s="1"/>
  <c r="L87" i="10"/>
  <c r="N87" i="10" s="1"/>
  <c r="Q87" i="10" s="1"/>
  <c r="L249" i="15"/>
  <c r="N249" i="15" s="1"/>
  <c r="Q249" i="15" s="1"/>
  <c r="G152" i="13"/>
  <c r="G14" i="13" s="1"/>
  <c r="G72" i="13"/>
  <c r="G24" i="21"/>
  <c r="H7" i="8"/>
  <c r="H121" i="12"/>
  <c r="H11" i="12" s="1"/>
  <c r="E8" i="21"/>
  <c r="E14" i="21" s="1"/>
  <c r="F9" i="8"/>
  <c r="H54" i="13"/>
  <c r="H59" i="13" s="1"/>
  <c r="H8" i="13" s="1"/>
  <c r="L566" i="5"/>
  <c r="N566" i="5" s="1"/>
  <c r="Q566" i="5" s="1"/>
  <c r="I239" i="6"/>
  <c r="I20" i="6" s="1"/>
  <c r="Q84" i="9"/>
  <c r="I167" i="6"/>
  <c r="I14" i="6" s="1"/>
  <c r="G182" i="15"/>
  <c r="G16" i="15" s="1"/>
  <c r="L410" i="5"/>
  <c r="N410" i="5" s="1"/>
  <c r="Q410" i="5" s="1"/>
  <c r="L458" i="5"/>
  <c r="N458" i="5" s="1"/>
  <c r="Q458" i="5" s="1"/>
  <c r="H299" i="6"/>
  <c r="H25" i="6" s="1"/>
  <c r="L173" i="6"/>
  <c r="N173" i="6" s="1"/>
  <c r="Q173" i="6" s="1"/>
  <c r="S156" i="5"/>
  <c r="I367" i="5"/>
  <c r="I29" i="5" s="1"/>
  <c r="L225" i="18"/>
  <c r="L231" i="18" s="1"/>
  <c r="L20" i="18" s="1"/>
  <c r="N212" i="12"/>
  <c r="Q212" i="12" s="1"/>
  <c r="L155" i="5"/>
  <c r="N155" i="5" s="1"/>
  <c r="Q155" i="5" s="1"/>
  <c r="H160" i="5"/>
  <c r="H12" i="5" s="1"/>
  <c r="L129" i="9"/>
  <c r="N129" i="9" s="1"/>
  <c r="L390" i="6"/>
  <c r="N390" i="6" s="1"/>
  <c r="Q390" i="6" s="1"/>
  <c r="L197" i="6"/>
  <c r="N197" i="6" s="1"/>
  <c r="Q197" i="6" s="1"/>
  <c r="G7" i="12"/>
  <c r="L446" i="5"/>
  <c r="N446" i="5" s="1"/>
  <c r="Q446" i="5" s="1"/>
  <c r="L481" i="5"/>
  <c r="L487" i="5" s="1"/>
  <c r="L39" i="5" s="1"/>
  <c r="L590" i="5"/>
  <c r="N590" i="5" s="1"/>
  <c r="Q590" i="5" s="1"/>
  <c r="H135" i="9"/>
  <c r="H13" i="9" s="1"/>
  <c r="S109" i="5"/>
  <c r="F11" i="5"/>
  <c r="M16" i="9"/>
  <c r="L10" i="20" s="1"/>
  <c r="H355" i="5"/>
  <c r="H28" i="5" s="1"/>
  <c r="L350" i="5"/>
  <c r="N350" i="5" s="1"/>
  <c r="Q350" i="5" s="1"/>
  <c r="S121" i="5"/>
  <c r="F33" i="21"/>
  <c r="G7" i="17"/>
  <c r="G27" i="21"/>
  <c r="I205" i="12"/>
  <c r="I18" i="12" s="1"/>
  <c r="L273" i="18"/>
  <c r="E33" i="21"/>
  <c r="F26" i="17"/>
  <c r="F7" i="17"/>
  <c r="F12" i="17" s="1"/>
  <c r="E18" i="20" s="1"/>
  <c r="H248" i="13"/>
  <c r="H22" i="13" s="1"/>
  <c r="L69" i="9"/>
  <c r="N69" i="9" s="1"/>
  <c r="Q69" i="9" s="1"/>
  <c r="G88" i="9"/>
  <c r="G9" i="9" s="1"/>
  <c r="H77" i="8"/>
  <c r="H9" i="8" s="1"/>
  <c r="L186" i="7"/>
  <c r="N186" i="7" s="1"/>
  <c r="Q186" i="7" s="1"/>
  <c r="F182" i="7"/>
  <c r="L114" i="7"/>
  <c r="N114" i="7" s="1"/>
  <c r="F10" i="7"/>
  <c r="L175" i="7"/>
  <c r="N175" i="7" s="1"/>
  <c r="Q175" i="7" s="1"/>
  <c r="L151" i="7"/>
  <c r="N151" i="7" s="1"/>
  <c r="Q151" i="7" s="1"/>
  <c r="L187" i="7"/>
  <c r="L174" i="7"/>
  <c r="H120" i="7"/>
  <c r="H11" i="7" s="1"/>
  <c r="L115" i="7"/>
  <c r="N115" i="7" s="1"/>
  <c r="Q115" i="7" s="1"/>
  <c r="L421" i="5"/>
  <c r="N421" i="5" s="1"/>
  <c r="Q421" i="5" s="1"/>
  <c r="I258" i="5"/>
  <c r="I20" i="5" s="1"/>
  <c r="L240" i="5"/>
  <c r="L276" i="5"/>
  <c r="N276" i="5" s="1"/>
  <c r="L252" i="5"/>
  <c r="N252" i="5" s="1"/>
  <c r="F12" i="5"/>
  <c r="I154" i="5"/>
  <c r="I160" i="5" s="1"/>
  <c r="I12" i="5" s="1"/>
  <c r="I104" i="3"/>
  <c r="I11" i="3" s="1"/>
  <c r="G367" i="5"/>
  <c r="G29" i="5" s="1"/>
  <c r="L361" i="5"/>
  <c r="N361" i="5" s="1"/>
  <c r="Q361" i="5" s="1"/>
  <c r="L106" i="18"/>
  <c r="N106" i="18" s="1"/>
  <c r="Q106" i="18" s="1"/>
  <c r="F160" i="15"/>
  <c r="G31" i="15"/>
  <c r="G37" i="15" s="1"/>
  <c r="G7" i="15" s="1"/>
  <c r="E31" i="21"/>
  <c r="D77" i="22"/>
  <c r="I72" i="13"/>
  <c r="I78" i="13" s="1"/>
  <c r="I109" i="12"/>
  <c r="I10" i="12" s="1"/>
  <c r="I47" i="11"/>
  <c r="G68" i="7"/>
  <c r="E67" i="7"/>
  <c r="L245" i="6"/>
  <c r="N245" i="6" s="1"/>
  <c r="N251" i="6" s="1"/>
  <c r="N21" i="6" s="1"/>
  <c r="L601" i="5"/>
  <c r="N601" i="5" s="1"/>
  <c r="I336" i="5"/>
  <c r="I342" i="5" s="1"/>
  <c r="I27" i="5" s="1"/>
  <c r="G336" i="5"/>
  <c r="F342" i="5"/>
  <c r="L205" i="5"/>
  <c r="N205" i="5" s="1"/>
  <c r="Q205" i="5" s="1"/>
  <c r="N111" i="5"/>
  <c r="I103" i="5"/>
  <c r="I109" i="5" s="1"/>
  <c r="H8" i="22" s="1"/>
  <c r="H61" i="22" s="1"/>
  <c r="I70" i="4"/>
  <c r="H7" i="22" s="1"/>
  <c r="H60" i="22" s="1"/>
  <c r="F65" i="22"/>
  <c r="Z71" i="3"/>
  <c r="AB71" i="3" s="1"/>
  <c r="AB59" i="3"/>
  <c r="AA59" i="3"/>
  <c r="G95" i="5"/>
  <c r="E95" i="5"/>
  <c r="G42" i="19"/>
  <c r="G48" i="19" s="1"/>
  <c r="G8" i="19" s="1"/>
  <c r="G71" i="18"/>
  <c r="E71" i="18"/>
  <c r="T55" i="10"/>
  <c r="P15" i="3"/>
  <c r="O4" i="20" s="1"/>
  <c r="L161" i="10"/>
  <c r="N161" i="10" s="1"/>
  <c r="Q161" i="10" s="1"/>
  <c r="Q167" i="10" s="1"/>
  <c r="Q15" i="10" s="1"/>
  <c r="I42" i="19"/>
  <c r="I108" i="7"/>
  <c r="I10" i="7" s="1"/>
  <c r="L397" i="5"/>
  <c r="N397" i="5" s="1"/>
  <c r="S97" i="18"/>
  <c r="L153" i="18"/>
  <c r="N153" i="18" s="1"/>
  <c r="L236" i="15"/>
  <c r="J90" i="13"/>
  <c r="I42" i="22" s="1"/>
  <c r="S70" i="16"/>
  <c r="I607" i="5"/>
  <c r="I49" i="5" s="1"/>
  <c r="B9" i="16"/>
  <c r="B9" i="18"/>
  <c r="H22" i="21"/>
  <c r="L189" i="18"/>
  <c r="N189" i="18" s="1"/>
  <c r="N195" i="18" s="1"/>
  <c r="N17" i="18" s="1"/>
  <c r="I195" i="18"/>
  <c r="I17" i="18" s="1"/>
  <c r="I157" i="12"/>
  <c r="I14" i="12" s="1"/>
  <c r="G112" i="11"/>
  <c r="G11" i="11" s="1"/>
  <c r="B9" i="13"/>
  <c r="S78" i="13"/>
  <c r="H134" i="15"/>
  <c r="H12" i="15" s="1"/>
  <c r="L129" i="15"/>
  <c r="N129" i="15" s="1"/>
  <c r="Q129" i="15" s="1"/>
  <c r="H26" i="4"/>
  <c r="H7" i="4" s="1"/>
  <c r="O105" i="6"/>
  <c r="N35" i="22" s="1"/>
  <c r="F34" i="6"/>
  <c r="L199" i="7"/>
  <c r="N199" i="7" s="1"/>
  <c r="Q199" i="7" s="1"/>
  <c r="L101" i="10"/>
  <c r="N101" i="10" s="1"/>
  <c r="I210" i="5"/>
  <c r="I16" i="5" s="1"/>
  <c r="I391" i="5"/>
  <c r="I31" i="5" s="1"/>
  <c r="F195" i="12"/>
  <c r="H57" i="10"/>
  <c r="L103" i="12"/>
  <c r="L60" i="17"/>
  <c r="N60" i="17" s="1"/>
  <c r="Q60" i="17" s="1"/>
  <c r="N57" i="12"/>
  <c r="Q57" i="12" s="1"/>
  <c r="L70" i="9"/>
  <c r="N70" i="9" s="1"/>
  <c r="L142" i="5"/>
  <c r="N142" i="5" s="1"/>
  <c r="Q142" i="5" s="1"/>
  <c r="G38" i="8"/>
  <c r="G44" i="8" s="1"/>
  <c r="G8" i="8" s="1"/>
  <c r="L117" i="18"/>
  <c r="L123" i="18" s="1"/>
  <c r="L11" i="18" s="1"/>
  <c r="L72" i="17"/>
  <c r="N72" i="17" s="1"/>
  <c r="Q72" i="17" s="1"/>
  <c r="F53" i="13"/>
  <c r="F59" i="13" s="1"/>
  <c r="F67" i="13" s="1"/>
  <c r="I75" i="8"/>
  <c r="I77" i="8" s="1"/>
  <c r="I9" i="8" s="1"/>
  <c r="L100" i="6"/>
  <c r="N100" i="6" s="1"/>
  <c r="Q100" i="6" s="1"/>
  <c r="L59" i="17"/>
  <c r="H207" i="18"/>
  <c r="H18" i="18" s="1"/>
  <c r="L213" i="18"/>
  <c r="L219" i="18" s="1"/>
  <c r="L19" i="18" s="1"/>
  <c r="L151" i="12"/>
  <c r="N151" i="12" s="1"/>
  <c r="H48" i="11"/>
  <c r="H53" i="11" s="1"/>
  <c r="H8" i="11" s="1"/>
  <c r="J15" i="11"/>
  <c r="I12" i="20" s="1"/>
  <c r="G100" i="11"/>
  <c r="G10" i="11" s="1"/>
  <c r="O15" i="11"/>
  <c r="N12" i="20" s="1"/>
  <c r="T46" i="11"/>
  <c r="L578" i="5"/>
  <c r="N578" i="5" s="1"/>
  <c r="Q578" i="5" s="1"/>
  <c r="L445" i="5"/>
  <c r="N445" i="5" s="1"/>
  <c r="H92" i="3"/>
  <c r="H10" i="3" s="1"/>
  <c r="F22" i="15"/>
  <c r="F256" i="15"/>
  <c r="L248" i="15"/>
  <c r="N248" i="15" s="1"/>
  <c r="Q248" i="15" s="1"/>
  <c r="I31" i="15"/>
  <c r="I37" i="15" s="1"/>
  <c r="F65" i="15"/>
  <c r="F73" i="15" s="1"/>
  <c r="L185" i="10"/>
  <c r="N185" i="10" s="1"/>
  <c r="Q185" i="10" s="1"/>
  <c r="G191" i="10"/>
  <c r="G17" i="10" s="1"/>
  <c r="I193" i="12"/>
  <c r="L187" i="12"/>
  <c r="F147" i="12"/>
  <c r="F13" i="12"/>
  <c r="L78" i="12"/>
  <c r="N78" i="12" s="1"/>
  <c r="Q78" i="12" s="1"/>
  <c r="L434" i="5"/>
  <c r="N434" i="5" s="1"/>
  <c r="Q434" i="5" s="1"/>
  <c r="G330" i="5"/>
  <c r="G26" i="5" s="1"/>
  <c r="L324" i="5"/>
  <c r="N324" i="5" s="1"/>
  <c r="N330" i="5" s="1"/>
  <c r="N26" i="5" s="1"/>
  <c r="I222" i="5"/>
  <c r="I17" i="5" s="1"/>
  <c r="G198" i="5"/>
  <c r="G15" i="5" s="1"/>
  <c r="L192" i="5"/>
  <c r="I147" i="5"/>
  <c r="I11" i="5" s="1"/>
  <c r="T40" i="3"/>
  <c r="F61" i="11"/>
  <c r="H25" i="21"/>
  <c r="N77" i="4"/>
  <c r="Q77" i="4" s="1"/>
  <c r="F405" i="5"/>
  <c r="L349" i="5"/>
  <c r="G355" i="5"/>
  <c r="G28" i="5" s="1"/>
  <c r="G415" i="5"/>
  <c r="G33" i="5" s="1"/>
  <c r="L409" i="5"/>
  <c r="F9" i="7"/>
  <c r="F8" i="7"/>
  <c r="O14" i="4"/>
  <c r="N5" i="20" s="1"/>
  <c r="H33" i="21"/>
  <c r="I7" i="17"/>
  <c r="I104" i="13"/>
  <c r="I10" i="13" s="1"/>
  <c r="T44" i="4"/>
  <c r="H10" i="22"/>
  <c r="H63" i="22" s="1"/>
  <c r="I96" i="7"/>
  <c r="I9" i="7" s="1"/>
  <c r="G108" i="7"/>
  <c r="G10" i="7" s="1"/>
  <c r="L102" i="7"/>
  <c r="F205" i="10"/>
  <c r="I45" i="4"/>
  <c r="I51" i="4" s="1"/>
  <c r="I8" i="4" s="1"/>
  <c r="H108" i="4"/>
  <c r="H11" i="4" s="1"/>
  <c r="L114" i="4"/>
  <c r="N114" i="4" s="1"/>
  <c r="Q114" i="4" s="1"/>
  <c r="N90" i="4"/>
  <c r="L32" i="18"/>
  <c r="N32" i="18" s="1"/>
  <c r="I165" i="18"/>
  <c r="I171" i="18" s="1"/>
  <c r="I15" i="18" s="1"/>
  <c r="G165" i="18"/>
  <c r="F171" i="18"/>
  <c r="L166" i="18"/>
  <c r="H171" i="18"/>
  <c r="H15" i="18" s="1"/>
  <c r="L238" i="18"/>
  <c r="N238" i="18" s="1"/>
  <c r="Q238" i="18" s="1"/>
  <c r="G7" i="18"/>
  <c r="F34" i="21"/>
  <c r="E34" i="21"/>
  <c r="F7" i="18"/>
  <c r="F26" i="18" s="1"/>
  <c r="E19" i="20" s="1"/>
  <c r="O19" i="20"/>
  <c r="L230" i="13"/>
  <c r="F106" i="13"/>
  <c r="T52" i="13"/>
  <c r="L197" i="10"/>
  <c r="I86" i="9"/>
  <c r="N37" i="8"/>
  <c r="Q37" i="8" s="1"/>
  <c r="L260" i="15"/>
  <c r="N260" i="15" s="1"/>
  <c r="L76" i="16"/>
  <c r="N76" i="16" s="1"/>
  <c r="E32" i="21"/>
  <c r="F7" i="16"/>
  <c r="F14" i="16" s="1"/>
  <c r="E17" i="20" s="1"/>
  <c r="G26" i="16"/>
  <c r="L20" i="16"/>
  <c r="L104" i="15"/>
  <c r="N153" i="15"/>
  <c r="L71" i="17"/>
  <c r="N71" i="17" s="1"/>
  <c r="H46" i="22"/>
  <c r="H73" i="22" s="1"/>
  <c r="I79" i="17"/>
  <c r="I9" i="17" s="1"/>
  <c r="G9" i="21"/>
  <c r="G14" i="21" s="1"/>
  <c r="L22" i="11"/>
  <c r="N22" i="11" s="1"/>
  <c r="Q22" i="11" s="1"/>
  <c r="L62" i="19"/>
  <c r="N62" i="19" s="1"/>
  <c r="Q62" i="19" s="1"/>
  <c r="N41" i="19"/>
  <c r="Q41" i="19" s="1"/>
  <c r="X7" i="19" s="1"/>
  <c r="T39" i="17"/>
  <c r="O12" i="14"/>
  <c r="N15" i="20" s="1"/>
  <c r="H359" i="6"/>
  <c r="H30" i="6" s="1"/>
  <c r="L414" i="6"/>
  <c r="N414" i="6" s="1"/>
  <c r="Q414" i="6" s="1"/>
  <c r="G287" i="6"/>
  <c r="G24" i="6" s="1"/>
  <c r="K37" i="6"/>
  <c r="J7" i="20" s="1"/>
  <c r="I56" i="10"/>
  <c r="I62" i="10" s="1"/>
  <c r="I8" i="10" s="1"/>
  <c r="F62" i="10"/>
  <c r="L173" i="10"/>
  <c r="L179" i="10" s="1"/>
  <c r="L16" i="10" s="1"/>
  <c r="L28" i="10"/>
  <c r="N28" i="10" s="1"/>
  <c r="Q28" i="10" s="1"/>
  <c r="G34" i="10"/>
  <c r="F7" i="10"/>
  <c r="F22" i="10" s="1"/>
  <c r="E11" i="20" s="1"/>
  <c r="F36" i="10"/>
  <c r="I7" i="4"/>
  <c r="H20" i="21"/>
  <c r="G79" i="6"/>
  <c r="L212" i="15"/>
  <c r="N212" i="15" s="1"/>
  <c r="Q212" i="15" s="1"/>
  <c r="G218" i="15"/>
  <c r="G19" i="15" s="1"/>
  <c r="N99" i="6"/>
  <c r="L366" i="6"/>
  <c r="N366" i="6" s="1"/>
  <c r="Q366" i="6" s="1"/>
  <c r="H371" i="6"/>
  <c r="H31" i="6" s="1"/>
  <c r="F8" i="19"/>
  <c r="F56" i="19"/>
  <c r="B9" i="15"/>
  <c r="S96" i="15"/>
  <c r="S84" i="15"/>
  <c r="G26" i="4"/>
  <c r="L20" i="4"/>
  <c r="N20" i="4" s="1"/>
  <c r="Q20" i="4" s="1"/>
  <c r="L65" i="4"/>
  <c r="I95" i="10"/>
  <c r="I9" i="10" s="1"/>
  <c r="D24" i="22"/>
  <c r="G191" i="6"/>
  <c r="G16" i="6" s="1"/>
  <c r="L185" i="6"/>
  <c r="N185" i="6" s="1"/>
  <c r="Q185" i="6" s="1"/>
  <c r="H66" i="22"/>
  <c r="H41" i="17"/>
  <c r="L41" i="17" s="1"/>
  <c r="N41" i="17" s="1"/>
  <c r="Q41" i="17" s="1"/>
  <c r="H104" i="3"/>
  <c r="H11" i="3" s="1"/>
  <c r="L99" i="3"/>
  <c r="N99" i="3" s="1"/>
  <c r="Q99" i="3" s="1"/>
  <c r="L149" i="10"/>
  <c r="L506" i="5"/>
  <c r="G40" i="17"/>
  <c r="G46" i="17" s="1"/>
  <c r="G8" i="17" s="1"/>
  <c r="I99" i="18"/>
  <c r="I9" i="18" s="1"/>
  <c r="H27" i="21"/>
  <c r="I7" i="11"/>
  <c r="I133" i="12"/>
  <c r="I12" i="12" s="1"/>
  <c r="L127" i="12"/>
  <c r="I37" i="21"/>
  <c r="H42" i="3"/>
  <c r="L42" i="3" s="1"/>
  <c r="N42" i="3" s="1"/>
  <c r="Q42" i="3" s="1"/>
  <c r="O37" i="21"/>
  <c r="G45" i="4"/>
  <c r="G51" i="4" s="1"/>
  <c r="G8" i="4" s="1"/>
  <c r="H32" i="21"/>
  <c r="I7" i="16"/>
  <c r="G75" i="8"/>
  <c r="G77" i="8" s="1"/>
  <c r="G9" i="8" s="1"/>
  <c r="L69" i="8"/>
  <c r="L60" i="3"/>
  <c r="H26" i="21"/>
  <c r="I7" i="10"/>
  <c r="I83" i="12"/>
  <c r="H15" i="22" s="1"/>
  <c r="S77" i="17"/>
  <c r="S65" i="17"/>
  <c r="L115" i="12"/>
  <c r="N115" i="12" s="1"/>
  <c r="L79" i="11"/>
  <c r="N79" i="11" s="1"/>
  <c r="Q79" i="11" s="1"/>
  <c r="H84" i="11"/>
  <c r="H120" i="4"/>
  <c r="H12" i="4" s="1"/>
  <c r="L115" i="4"/>
  <c r="L37" i="21"/>
  <c r="L76" i="7"/>
  <c r="L74" i="19"/>
  <c r="N74" i="19" s="1"/>
  <c r="Q74" i="19" s="1"/>
  <c r="G619" i="5"/>
  <c r="G50" i="5" s="1"/>
  <c r="L613" i="5"/>
  <c r="G52" i="3"/>
  <c r="Q36" i="16"/>
  <c r="N44" i="16"/>
  <c r="H19" i="21"/>
  <c r="I7" i="3"/>
  <c r="D22" i="20"/>
  <c r="L201" i="18"/>
  <c r="L207" i="18" s="1"/>
  <c r="L18" i="18" s="1"/>
  <c r="I535" i="5"/>
  <c r="I43" i="5" s="1"/>
  <c r="L529" i="5"/>
  <c r="F8" i="9"/>
  <c r="F64" i="9"/>
  <c r="I65" i="22"/>
  <c r="L493" i="5"/>
  <c r="F59" i="4"/>
  <c r="F8" i="4"/>
  <c r="H46" i="4"/>
  <c r="G255" i="18"/>
  <c r="G22" i="18" s="1"/>
  <c r="G136" i="11"/>
  <c r="G13" i="11" s="1"/>
  <c r="L130" i="11"/>
  <c r="H29" i="21"/>
  <c r="I7" i="13"/>
  <c r="G559" i="5"/>
  <c r="G45" i="5" s="1"/>
  <c r="L553" i="5"/>
  <c r="L94" i="9"/>
  <c r="G100" i="9"/>
  <c r="G10" i="9" s="1"/>
  <c r="G92" i="3"/>
  <c r="G10" i="3" s="1"/>
  <c r="L86" i="3"/>
  <c r="L91" i="18"/>
  <c r="F23" i="6"/>
  <c r="F277" i="6"/>
  <c r="G463" i="5"/>
  <c r="G37" i="5" s="1"/>
  <c r="L457" i="5"/>
  <c r="I7" i="18"/>
  <c r="H34" i="21"/>
  <c r="F15" i="12"/>
  <c r="F171" i="12"/>
  <c r="F28" i="6"/>
  <c r="F337" i="6"/>
  <c r="G119" i="6"/>
  <c r="G10" i="6" s="1"/>
  <c r="L113" i="6"/>
  <c r="N113" i="6" s="1"/>
  <c r="L174" i="6"/>
  <c r="H179" i="6"/>
  <c r="H15" i="6" s="1"/>
  <c r="L141" i="9"/>
  <c r="N141" i="9" s="1"/>
  <c r="Q141" i="9" s="1"/>
  <c r="H146" i="9"/>
  <c r="H14" i="9" s="1"/>
  <c r="L89" i="12"/>
  <c r="Q77" i="7"/>
  <c r="L293" i="6"/>
  <c r="G299" i="6"/>
  <c r="G25" i="6" s="1"/>
  <c r="F24" i="21"/>
  <c r="G7" i="8"/>
  <c r="G124" i="11"/>
  <c r="G12" i="11" s="1"/>
  <c r="L118" i="11"/>
  <c r="L26" i="7"/>
  <c r="G32" i="7"/>
  <c r="L577" i="5"/>
  <c r="G583" i="5"/>
  <c r="G47" i="5" s="1"/>
  <c r="X7" i="13"/>
  <c r="G205" i="12"/>
  <c r="G18" i="12" s="1"/>
  <c r="L199" i="12"/>
  <c r="N199" i="12" s="1"/>
  <c r="Q199" i="12" s="1"/>
  <c r="Q46" i="11"/>
  <c r="I59" i="12"/>
  <c r="H59" i="12"/>
  <c r="I41" i="3"/>
  <c r="I47" i="3" s="1"/>
  <c r="I8" i="3" s="1"/>
  <c r="G41" i="3"/>
  <c r="F47" i="3"/>
  <c r="F55" i="3" s="1"/>
  <c r="N65" i="16"/>
  <c r="H168" i="7"/>
  <c r="H15" i="7" s="1"/>
  <c r="L163" i="7"/>
  <c r="N163" i="7" s="1"/>
  <c r="Q163" i="7" s="1"/>
  <c r="L88" i="6"/>
  <c r="L433" i="5"/>
  <c r="G439" i="5"/>
  <c r="G35" i="5" s="1"/>
  <c r="L317" i="6"/>
  <c r="G323" i="6"/>
  <c r="G27" i="6" s="1"/>
  <c r="G267" i="18"/>
  <c r="G23" i="18" s="1"/>
  <c r="L261" i="18"/>
  <c r="L158" i="13"/>
  <c r="G164" i="13"/>
  <c r="G15" i="13" s="1"/>
  <c r="G335" i="6"/>
  <c r="G28" i="6" s="1"/>
  <c r="L329" i="6"/>
  <c r="H133" i="12"/>
  <c r="H12" i="12" s="1"/>
  <c r="L128" i="12"/>
  <c r="N128" i="12" s="1"/>
  <c r="Q128" i="12" s="1"/>
  <c r="F10" i="6"/>
  <c r="H108" i="7"/>
  <c r="H10" i="7" s="1"/>
  <c r="L103" i="7"/>
  <c r="N103" i="7" s="1"/>
  <c r="Q103" i="7" s="1"/>
  <c r="H131" i="10"/>
  <c r="H12" i="10" s="1"/>
  <c r="L126" i="10"/>
  <c r="N126" i="10" s="1"/>
  <c r="Q126" i="10" s="1"/>
  <c r="H74" i="22"/>
  <c r="L198" i="6"/>
  <c r="N198" i="6" s="1"/>
  <c r="Q198" i="6" s="1"/>
  <c r="H203" i="6"/>
  <c r="H17" i="6" s="1"/>
  <c r="O59" i="22"/>
  <c r="G91" i="17"/>
  <c r="G10" i="17" s="1"/>
  <c r="L85" i="17"/>
  <c r="F9" i="11"/>
  <c r="F88" i="11"/>
  <c r="I96" i="16"/>
  <c r="I10" i="16" s="1"/>
  <c r="L90" i="16"/>
  <c r="I45" i="16"/>
  <c r="I51" i="16" s="1"/>
  <c r="I8" i="16" s="1"/>
  <c r="G45" i="16"/>
  <c r="I72" i="11"/>
  <c r="L66" i="11"/>
  <c r="I38" i="14"/>
  <c r="I44" i="14" s="1"/>
  <c r="I8" i="14" s="1"/>
  <c r="G38" i="14"/>
  <c r="I7" i="7"/>
  <c r="H23" i="21"/>
  <c r="F51" i="16"/>
  <c r="I34" i="12"/>
  <c r="L28" i="12"/>
  <c r="Q38" i="7"/>
  <c r="X7" i="7"/>
  <c r="J37" i="21"/>
  <c r="F15" i="3"/>
  <c r="E4" i="20" s="1"/>
  <c r="E19" i="21"/>
  <c r="F29" i="3"/>
  <c r="F18" i="12"/>
  <c r="L198" i="7"/>
  <c r="G204" i="7"/>
  <c r="G18" i="7" s="1"/>
  <c r="Q67" i="6"/>
  <c r="X7" i="6" s="1"/>
  <c r="H607" i="5"/>
  <c r="H49" i="5" s="1"/>
  <c r="L602" i="5"/>
  <c r="N602" i="5" s="1"/>
  <c r="Q602" i="5" s="1"/>
  <c r="N44" i="4"/>
  <c r="Q82" i="11"/>
  <c r="H19" i="22"/>
  <c r="H72" i="22" s="1"/>
  <c r="I84" i="16"/>
  <c r="I9" i="16" s="1"/>
  <c r="L77" i="12"/>
  <c r="L78" i="11"/>
  <c r="G84" i="11"/>
  <c r="G86" i="11" s="1"/>
  <c r="G9" i="11" s="1"/>
  <c r="F44" i="5"/>
  <c r="L223" i="12"/>
  <c r="G229" i="12"/>
  <c r="G20" i="12" s="1"/>
  <c r="L242" i="13"/>
  <c r="G248" i="13"/>
  <c r="G22" i="13" s="1"/>
  <c r="G155" i="6"/>
  <c r="G13" i="6" s="1"/>
  <c r="L149" i="6"/>
  <c r="F465" i="5"/>
  <c r="F269" i="18"/>
  <c r="F23" i="18"/>
  <c r="S63" i="14"/>
  <c r="L209" i="10"/>
  <c r="L9" i="20"/>
  <c r="F245" i="18"/>
  <c r="H255" i="18"/>
  <c r="H22" i="18" s="1"/>
  <c r="L305" i="6"/>
  <c r="G311" i="6"/>
  <c r="G26" i="6" s="1"/>
  <c r="L362" i="5"/>
  <c r="H367" i="5"/>
  <c r="H29" i="5" s="1"/>
  <c r="L206" i="13"/>
  <c r="G212" i="13"/>
  <c r="G19" i="13" s="1"/>
  <c r="H17" i="22"/>
  <c r="H70" i="22" s="1"/>
  <c r="I77" i="14"/>
  <c r="I9" i="14" s="1"/>
  <c r="L57" i="14"/>
  <c r="L224" i="15"/>
  <c r="G230" i="15"/>
  <c r="G20" i="15" s="1"/>
  <c r="G33" i="21"/>
  <c r="H7" i="17"/>
  <c r="L219" i="13"/>
  <c r="N219" i="13" s="1"/>
  <c r="Q219" i="13" s="1"/>
  <c r="H224" i="13"/>
  <c r="H20" i="13" s="1"/>
  <c r="H145" i="12"/>
  <c r="H13" i="12" s="1"/>
  <c r="L140" i="12"/>
  <c r="N140" i="12" s="1"/>
  <c r="Q140" i="12" s="1"/>
  <c r="I66" i="5"/>
  <c r="H21" i="21" s="1"/>
  <c r="L565" i="5"/>
  <c r="L72" i="3"/>
  <c r="L126" i="7"/>
  <c r="G132" i="7"/>
  <c r="G12" i="7" s="1"/>
  <c r="G523" i="5"/>
  <c r="G42" i="5" s="1"/>
  <c r="L517" i="5"/>
  <c r="L211" i="12"/>
  <c r="N211" i="12" s="1"/>
  <c r="G217" i="12"/>
  <c r="G19" i="12" s="1"/>
  <c r="L142" i="18"/>
  <c r="N142" i="18" s="1"/>
  <c r="Q142" i="18" s="1"/>
  <c r="H147" i="18"/>
  <c r="H13" i="18" s="1"/>
  <c r="B9" i="19"/>
  <c r="S79" i="19"/>
  <c r="S67" i="19"/>
  <c r="L69" i="14"/>
  <c r="Q34" i="9"/>
  <c r="N48" i="9"/>
  <c r="L69" i="6"/>
  <c r="N69" i="6" s="1"/>
  <c r="Q69" i="6" s="1"/>
  <c r="H74" i="6"/>
  <c r="H8" i="6" s="1"/>
  <c r="F217" i="10"/>
  <c r="F19" i="10"/>
  <c r="F50" i="5"/>
  <c r="Q43" i="10"/>
  <c r="N55" i="10"/>
  <c r="H7" i="18"/>
  <c r="G34" i="21"/>
  <c r="I50" i="9"/>
  <c r="G50" i="9"/>
  <c r="L210" i="6"/>
  <c r="N210" i="6" s="1"/>
  <c r="Q210" i="6" s="1"/>
  <c r="H215" i="6"/>
  <c r="H18" i="6" s="1"/>
  <c r="F18" i="18"/>
  <c r="F209" i="18"/>
  <c r="Q456" i="5"/>
  <c r="L228" i="5"/>
  <c r="G234" i="5"/>
  <c r="G18" i="5" s="1"/>
  <c r="H140" i="13"/>
  <c r="H13" i="13" s="1"/>
  <c r="L135" i="13"/>
  <c r="L216" i="5"/>
  <c r="G222" i="5"/>
  <c r="G17" i="5" s="1"/>
  <c r="L341" i="6"/>
  <c r="G347" i="6"/>
  <c r="G29" i="6" s="1"/>
  <c r="H263" i="6"/>
  <c r="H22" i="6" s="1"/>
  <c r="L258" i="6"/>
  <c r="N258" i="6" s="1"/>
  <c r="Q258" i="6" s="1"/>
  <c r="F54" i="17"/>
  <c r="F8" i="17"/>
  <c r="N105" i="18"/>
  <c r="D37" i="21"/>
  <c r="N22" i="9"/>
  <c r="L28" i="9"/>
  <c r="F42" i="5"/>
  <c r="G26" i="21"/>
  <c r="H7" i="10"/>
  <c r="G135" i="18"/>
  <c r="G12" i="18" s="1"/>
  <c r="L129" i="18"/>
  <c r="I146" i="15"/>
  <c r="I13" i="15" s="1"/>
  <c r="L140" i="15"/>
  <c r="L186" i="6"/>
  <c r="H191" i="6"/>
  <c r="H16" i="6" s="1"/>
  <c r="L31" i="13"/>
  <c r="G37" i="13"/>
  <c r="E28" i="21"/>
  <c r="F36" i="12"/>
  <c r="F7" i="12"/>
  <c r="F22" i="12" s="1"/>
  <c r="E13" i="20" s="1"/>
  <c r="P11" i="21"/>
  <c r="Q20" i="11"/>
  <c r="H499" i="5"/>
  <c r="H40" i="5" s="1"/>
  <c r="L494" i="5"/>
  <c r="N494" i="5" s="1"/>
  <c r="Q494" i="5" s="1"/>
  <c r="L359" i="6"/>
  <c r="L30" i="6" s="1"/>
  <c r="I215" i="6"/>
  <c r="I18" i="6" s="1"/>
  <c r="L209" i="6"/>
  <c r="G27" i="3"/>
  <c r="Q111" i="5"/>
  <c r="F13" i="6"/>
  <c r="F157" i="6"/>
  <c r="L116" i="5"/>
  <c r="N116" i="5" s="1"/>
  <c r="Q116" i="5" s="1"/>
  <c r="G210" i="5"/>
  <c r="G16" i="5" s="1"/>
  <c r="L204" i="5"/>
  <c r="Q179" i="5"/>
  <c r="H104" i="13"/>
  <c r="H10" i="13" s="1"/>
  <c r="L99" i="13"/>
  <c r="N99" i="13" s="1"/>
  <c r="Q99" i="13" s="1"/>
  <c r="L217" i="5"/>
  <c r="N217" i="5" s="1"/>
  <c r="Q217" i="5" s="1"/>
  <c r="H222" i="5"/>
  <c r="H17" i="5" s="1"/>
  <c r="F30" i="5"/>
  <c r="F381" i="5"/>
  <c r="L102" i="16"/>
  <c r="G108" i="16"/>
  <c r="G11" i="16" s="1"/>
  <c r="L194" i="13"/>
  <c r="G200" i="13"/>
  <c r="G18" i="13" s="1"/>
  <c r="L200" i="12"/>
  <c r="N200" i="12" s="1"/>
  <c r="Q200" i="12" s="1"/>
  <c r="H205" i="12"/>
  <c r="H18" i="12" s="1"/>
  <c r="L60" i="5"/>
  <c r="G66" i="5"/>
  <c r="F21" i="21" s="1"/>
  <c r="G49" i="6"/>
  <c r="L43" i="6"/>
  <c r="I67" i="19"/>
  <c r="L61" i="19"/>
  <c r="G27" i="11"/>
  <c r="L46" i="16"/>
  <c r="N46" i="16" s="1"/>
  <c r="Q46" i="16" s="1"/>
  <c r="H51" i="16"/>
  <c r="H8" i="16" s="1"/>
  <c r="H24" i="21"/>
  <c r="I7" i="8"/>
  <c r="H39" i="14"/>
  <c r="F68" i="6"/>
  <c r="Q34" i="17"/>
  <c r="N39" i="17"/>
  <c r="E29" i="21"/>
  <c r="F39" i="13"/>
  <c r="F7" i="13"/>
  <c r="F25" i="13" s="1"/>
  <c r="E14" i="20" s="1"/>
  <c r="P12" i="21"/>
  <c r="F44" i="14"/>
  <c r="F47" i="5"/>
  <c r="F585" i="5"/>
  <c r="N37" i="21"/>
  <c r="Q83" i="5"/>
  <c r="I128" i="13"/>
  <c r="I12" i="13" s="1"/>
  <c r="L122" i="13"/>
  <c r="Q117" i="9"/>
  <c r="L91" i="15"/>
  <c r="L125" i="6"/>
  <c r="G131" i="6"/>
  <c r="G11" i="6" s="1"/>
  <c r="H7" i="5"/>
  <c r="H391" i="5"/>
  <c r="H31" i="5" s="1"/>
  <c r="L386" i="5"/>
  <c r="N386" i="5" s="1"/>
  <c r="Q386" i="5" s="1"/>
  <c r="L541" i="5"/>
  <c r="G547" i="5"/>
  <c r="G44" i="5" s="1"/>
  <c r="H128" i="3"/>
  <c r="H13" i="3" s="1"/>
  <c r="L123" i="3"/>
  <c r="L269" i="6"/>
  <c r="G275" i="6"/>
  <c r="G23" i="6" s="1"/>
  <c r="F27" i="6"/>
  <c r="F325" i="6"/>
  <c r="F46" i="5"/>
  <c r="F573" i="5"/>
  <c r="G89" i="14"/>
  <c r="G10" i="14" s="1"/>
  <c r="L83" i="14"/>
  <c r="B9" i="10"/>
  <c r="S93" i="10"/>
  <c r="N85" i="13"/>
  <c r="L115" i="5"/>
  <c r="L164" i="15"/>
  <c r="G170" i="15"/>
  <c r="G15" i="15" s="1"/>
  <c r="H155" i="10"/>
  <c r="H14" i="10" s="1"/>
  <c r="L150" i="10"/>
  <c r="N150" i="10" s="1"/>
  <c r="Q150" i="10" s="1"/>
  <c r="G12" i="22"/>
  <c r="G65" i="22" s="1"/>
  <c r="H88" i="9"/>
  <c r="H9" i="9" s="1"/>
  <c r="H96" i="4"/>
  <c r="H10" i="4" s="1"/>
  <c r="L91" i="4"/>
  <c r="N91" i="4" s="1"/>
  <c r="Q91" i="4" s="1"/>
  <c r="L365" i="6"/>
  <c r="G371" i="6"/>
  <c r="G31" i="6" s="1"/>
  <c r="I294" i="5"/>
  <c r="I23" i="5" s="1"/>
  <c r="L288" i="5"/>
  <c r="L237" i="18"/>
  <c r="G243" i="18"/>
  <c r="G21" i="18" s="1"/>
  <c r="L87" i="19"/>
  <c r="G93" i="19"/>
  <c r="G10" i="19" s="1"/>
  <c r="H60" i="15"/>
  <c r="I60" i="15"/>
  <c r="S75" i="14"/>
  <c r="L102" i="10"/>
  <c r="N102" i="10" s="1"/>
  <c r="Q102" i="10" s="1"/>
  <c r="H107" i="10"/>
  <c r="H10" i="10" s="1"/>
  <c r="G306" i="5"/>
  <c r="G24" i="5" s="1"/>
  <c r="L300" i="5"/>
  <c r="G379" i="5"/>
  <c r="G30" i="5" s="1"/>
  <c r="L373" i="5"/>
  <c r="G169" i="12"/>
  <c r="G15" i="12" s="1"/>
  <c r="L163" i="12"/>
  <c r="N385" i="5"/>
  <c r="L114" i="16"/>
  <c r="G120" i="16"/>
  <c r="G12" i="16" s="1"/>
  <c r="F232" i="15"/>
  <c r="F20" i="15"/>
  <c r="N19" i="17"/>
  <c r="H181" i="12"/>
  <c r="H16" i="12" s="1"/>
  <c r="L176" i="12"/>
  <c r="N176" i="12" s="1"/>
  <c r="Q176" i="12" s="1"/>
  <c r="Q137" i="6"/>
  <c r="H143" i="6"/>
  <c r="H12" i="6" s="1"/>
  <c r="L138" i="6"/>
  <c r="N138" i="6" s="1"/>
  <c r="Q138" i="6" s="1"/>
  <c r="H32" i="22"/>
  <c r="I80" i="3"/>
  <c r="I9" i="3" s="1"/>
  <c r="F10" i="17"/>
  <c r="N29" i="10"/>
  <c r="F64" i="22"/>
  <c r="Z61" i="3" l="1"/>
  <c r="Z73" i="3" s="1"/>
  <c r="AB73" i="3" s="1"/>
  <c r="S65" i="19"/>
  <c r="L77" i="19"/>
  <c r="N77" i="19" s="1"/>
  <c r="Q77" i="19" s="1"/>
  <c r="N166" i="18"/>
  <c r="Q166" i="18" s="1"/>
  <c r="X9" i="18" s="1"/>
  <c r="H89" i="18"/>
  <c r="L95" i="18"/>
  <c r="N95" i="18" s="1"/>
  <c r="H88" i="18"/>
  <c r="O97" i="18"/>
  <c r="N47" i="22" s="1"/>
  <c r="K97" i="18"/>
  <c r="J47" i="22" s="1"/>
  <c r="J88" i="18"/>
  <c r="L75" i="17"/>
  <c r="N75" i="17" s="1"/>
  <c r="Q75" i="17" s="1"/>
  <c r="M96" i="15"/>
  <c r="L44" i="22" s="1"/>
  <c r="L94" i="15"/>
  <c r="N94" i="15" s="1"/>
  <c r="K86" i="15"/>
  <c r="S82" i="15"/>
  <c r="H66" i="14"/>
  <c r="P81" i="13"/>
  <c r="H81" i="13"/>
  <c r="M85" i="12"/>
  <c r="L67" i="4"/>
  <c r="N67" i="4" s="1"/>
  <c r="Q67" i="4" s="1"/>
  <c r="S68" i="4"/>
  <c r="J82" i="4"/>
  <c r="I33" i="22" s="1"/>
  <c r="H78" i="3"/>
  <c r="H69" i="3"/>
  <c r="M68" i="3"/>
  <c r="S107" i="5"/>
  <c r="K121" i="5"/>
  <c r="J34" i="22" s="1"/>
  <c r="H83" i="10"/>
  <c r="M83" i="10"/>
  <c r="P84" i="10"/>
  <c r="J83" i="10"/>
  <c r="L103" i="5"/>
  <c r="N103" i="5" s="1"/>
  <c r="Q103" i="5" s="1"/>
  <c r="L188" i="13"/>
  <c r="L17" i="13" s="1"/>
  <c r="F25" i="21"/>
  <c r="J89" i="18"/>
  <c r="L24" i="17"/>
  <c r="K33" i="21" s="1"/>
  <c r="K95" i="12"/>
  <c r="J41" i="22" s="1"/>
  <c r="H86" i="12"/>
  <c r="L239" i="6"/>
  <c r="L20" i="6" s="1"/>
  <c r="L227" i="6"/>
  <c r="L19" i="6" s="1"/>
  <c r="H62" i="22"/>
  <c r="L469" i="5"/>
  <c r="L475" i="5" s="1"/>
  <c r="L38" i="5" s="1"/>
  <c r="N260" i="13"/>
  <c r="N23" i="13" s="1"/>
  <c r="L172" i="5"/>
  <c r="L13" i="5" s="1"/>
  <c r="I98" i="15"/>
  <c r="I9" i="15" s="1"/>
  <c r="F26" i="14"/>
  <c r="F7" i="14"/>
  <c r="F12" i="14" s="1"/>
  <c r="E15" i="20" s="1"/>
  <c r="E22" i="20" s="1"/>
  <c r="L218" i="13"/>
  <c r="N218" i="13" s="1"/>
  <c r="Q218" i="13" s="1"/>
  <c r="Q224" i="13" s="1"/>
  <c r="Q20" i="13" s="1"/>
  <c r="Q22" i="3"/>
  <c r="M9" i="21"/>
  <c r="L66" i="18"/>
  <c r="L8" i="18" s="1"/>
  <c r="I66" i="18"/>
  <c r="I8" i="18" s="1"/>
  <c r="I26" i="18" s="1"/>
  <c r="H19" i="20" s="1"/>
  <c r="L18" i="14"/>
  <c r="L24" i="14" s="1"/>
  <c r="L112" i="9"/>
  <c r="L11" i="9" s="1"/>
  <c r="G22" i="21"/>
  <c r="P65" i="17"/>
  <c r="Q58" i="17"/>
  <c r="P77" i="17"/>
  <c r="O46" i="22" s="1"/>
  <c r="Q70" i="17"/>
  <c r="M90" i="13"/>
  <c r="L42" i="22" s="1"/>
  <c r="F82" i="3"/>
  <c r="L116" i="3"/>
  <c r="L12" i="3" s="1"/>
  <c r="L23" i="8"/>
  <c r="K24" i="21" s="1"/>
  <c r="G105" i="6"/>
  <c r="F35" i="22" s="1"/>
  <c r="F90" i="13"/>
  <c r="E42" i="22" s="1"/>
  <c r="X9" i="8"/>
  <c r="F83" i="12"/>
  <c r="P90" i="13"/>
  <c r="O42" i="22" s="1"/>
  <c r="F82" i="16"/>
  <c r="E45" i="22" s="1"/>
  <c r="L113" i="10"/>
  <c r="N113" i="10" s="1"/>
  <c r="N119" i="10" s="1"/>
  <c r="N11" i="10" s="1"/>
  <c r="N63" i="8"/>
  <c r="M11" i="22" s="1"/>
  <c r="M64" i="22" s="1"/>
  <c r="F296" i="18"/>
  <c r="F297" i="18"/>
  <c r="F298" i="18"/>
  <c r="F299" i="18"/>
  <c r="F301" i="18"/>
  <c r="F303" i="18"/>
  <c r="F302" i="18"/>
  <c r="F294" i="18"/>
  <c r="F295" i="18"/>
  <c r="M84" i="10"/>
  <c r="K83" i="10"/>
  <c r="S68" i="16"/>
  <c r="M73" i="16"/>
  <c r="M75" i="14"/>
  <c r="L43" i="22" s="1"/>
  <c r="J75" i="14"/>
  <c r="I43" i="22" s="1"/>
  <c r="Q78" i="18"/>
  <c r="G69" i="3"/>
  <c r="V66" i="3"/>
  <c r="O69" i="3"/>
  <c r="O68" i="3"/>
  <c r="E32" i="22"/>
  <c r="Q90" i="18"/>
  <c r="K70" i="4"/>
  <c r="S63" i="17"/>
  <c r="K109" i="5"/>
  <c r="M86" i="12"/>
  <c r="G85" i="12"/>
  <c r="H85" i="12"/>
  <c r="M73" i="4"/>
  <c r="F81" i="10"/>
  <c r="H77" i="17"/>
  <c r="G46" i="22" s="1"/>
  <c r="H96" i="6"/>
  <c r="G96" i="6"/>
  <c r="G95" i="6"/>
  <c r="F105" i="6"/>
  <c r="E35" i="22" s="1"/>
  <c r="E21" i="22"/>
  <c r="F8" i="5"/>
  <c r="M81" i="13"/>
  <c r="S76" i="13"/>
  <c r="L110" i="15"/>
  <c r="L10" i="15" s="1"/>
  <c r="L152" i="13"/>
  <c r="L14" i="13" s="1"/>
  <c r="P83" i="12"/>
  <c r="O15" i="22" s="1"/>
  <c r="H90" i="5"/>
  <c r="H8" i="5" s="1"/>
  <c r="L108" i="4"/>
  <c r="L11" i="4" s="1"/>
  <c r="L80" i="12"/>
  <c r="N80" i="12" s="1"/>
  <c r="Q80" i="12" s="1"/>
  <c r="S92" i="12" s="1"/>
  <c r="H105" i="6"/>
  <c r="G35" i="22" s="1"/>
  <c r="Q124" i="9"/>
  <c r="Q12" i="9" s="1"/>
  <c r="M83" i="12"/>
  <c r="L15" i="22" s="1"/>
  <c r="S61" i="14"/>
  <c r="J96" i="15"/>
  <c r="I44" i="22" s="1"/>
  <c r="G68" i="3"/>
  <c r="H84" i="10"/>
  <c r="Q100" i="11"/>
  <c r="Q10" i="11" s="1"/>
  <c r="P75" i="14"/>
  <c r="O43" i="22" s="1"/>
  <c r="L88" i="13"/>
  <c r="N88" i="13" s="1"/>
  <c r="Q88" i="13" s="1"/>
  <c r="Q134" i="15"/>
  <c r="Q12" i="15" s="1"/>
  <c r="L134" i="15"/>
  <c r="L12" i="15" s="1"/>
  <c r="Q270" i="5"/>
  <c r="Q21" i="5" s="1"/>
  <c r="L270" i="5"/>
  <c r="L21" i="5" s="1"/>
  <c r="L246" i="5"/>
  <c r="L19" i="5" s="1"/>
  <c r="L167" i="6"/>
  <c r="L14" i="6" s="1"/>
  <c r="L63" i="8"/>
  <c r="I107" i="6"/>
  <c r="I9" i="6" s="1"/>
  <c r="N191" i="10"/>
  <c r="N17" i="10" s="1"/>
  <c r="Q191" i="10"/>
  <c r="Q17" i="10" s="1"/>
  <c r="L116" i="13"/>
  <c r="L11" i="13" s="1"/>
  <c r="N161" i="6"/>
  <c r="N167" i="6" s="1"/>
  <c r="N14" i="6" s="1"/>
  <c r="H86" i="11"/>
  <c r="H9" i="11" s="1"/>
  <c r="H15" i="11" s="1"/>
  <c r="G12" i="20" s="1"/>
  <c r="L206" i="15"/>
  <c r="L18" i="15" s="1"/>
  <c r="N194" i="15"/>
  <c r="N17" i="15" s="1"/>
  <c r="L194" i="15"/>
  <c r="L17" i="15" s="1"/>
  <c r="L182" i="15"/>
  <c r="L16" i="15" s="1"/>
  <c r="H68" i="22"/>
  <c r="L58" i="12"/>
  <c r="N58" i="12" s="1"/>
  <c r="Q156" i="7"/>
  <c r="Q14" i="7" s="1"/>
  <c r="Q427" i="5"/>
  <c r="Q34" i="5" s="1"/>
  <c r="N270" i="5"/>
  <c r="N21" i="5" s="1"/>
  <c r="N427" i="5"/>
  <c r="N34" i="5" s="1"/>
  <c r="K78" i="3"/>
  <c r="J32" i="22" s="1"/>
  <c r="I92" i="13"/>
  <c r="I9" i="13" s="1"/>
  <c r="L84" i="5"/>
  <c r="N84" i="5" s="1"/>
  <c r="L282" i="5"/>
  <c r="L22" i="5" s="1"/>
  <c r="J86" i="12"/>
  <c r="N24" i="19"/>
  <c r="M35" i="21" s="1"/>
  <c r="L24" i="19"/>
  <c r="L7" i="19" s="1"/>
  <c r="L318" i="5"/>
  <c r="L25" i="5" s="1"/>
  <c r="I64" i="12"/>
  <c r="I8" i="12" s="1"/>
  <c r="Q203" i="6"/>
  <c r="Q17" i="6" s="1"/>
  <c r="G83" i="12"/>
  <c r="F15" i="22" s="1"/>
  <c r="L227" i="10"/>
  <c r="L20" i="10" s="1"/>
  <c r="N100" i="11"/>
  <c r="N10" i="11" s="1"/>
  <c r="L124" i="9"/>
  <c r="L12" i="9" s="1"/>
  <c r="N124" i="9"/>
  <c r="N12" i="9" s="1"/>
  <c r="F6" i="22"/>
  <c r="L287" i="6"/>
  <c r="L24" i="6" s="1"/>
  <c r="L135" i="9"/>
  <c r="L13" i="9" s="1"/>
  <c r="L383" i="6"/>
  <c r="L32" i="6" s="1"/>
  <c r="O66" i="3"/>
  <c r="N6" i="22" s="1"/>
  <c r="L75" i="9"/>
  <c r="G82" i="7"/>
  <c r="F10" i="22" s="1"/>
  <c r="F63" i="22" s="1"/>
  <c r="L47" i="11"/>
  <c r="N47" i="11" s="1"/>
  <c r="Q47" i="11" s="1"/>
  <c r="L64" i="3"/>
  <c r="N64" i="3" s="1"/>
  <c r="P35" i="21"/>
  <c r="L112" i="11"/>
  <c r="L11" i="11" s="1"/>
  <c r="L135" i="5"/>
  <c r="L10" i="5" s="1"/>
  <c r="L427" i="5"/>
  <c r="L34" i="5" s="1"/>
  <c r="G6" i="22"/>
  <c r="L43" i="19"/>
  <c r="N43" i="19" s="1"/>
  <c r="Q43" i="19" s="1"/>
  <c r="X9" i="19" s="1"/>
  <c r="J73" i="16"/>
  <c r="H73" i="16"/>
  <c r="J66" i="3"/>
  <c r="I6" i="22" s="1"/>
  <c r="M96" i="6"/>
  <c r="L81" i="12"/>
  <c r="N81" i="12" s="1"/>
  <c r="L191" i="10"/>
  <c r="L17" i="10" s="1"/>
  <c r="J84" i="10"/>
  <c r="N395" i="6"/>
  <c r="N33" i="6" s="1"/>
  <c r="Q170" i="13"/>
  <c r="Q176" i="13" s="1"/>
  <c r="Q16" i="13" s="1"/>
  <c r="J81" i="13"/>
  <c r="H83" i="12"/>
  <c r="G15" i="22" s="1"/>
  <c r="Q395" i="6"/>
  <c r="Q33" i="6" s="1"/>
  <c r="L419" i="6"/>
  <c r="L35" i="6" s="1"/>
  <c r="L100" i="11"/>
  <c r="L10" i="11" s="1"/>
  <c r="I63" i="7"/>
  <c r="I8" i="7" s="1"/>
  <c r="I20" i="7" s="1"/>
  <c r="H8" i="20" s="1"/>
  <c r="L144" i="7"/>
  <c r="L13" i="7" s="1"/>
  <c r="I123" i="5"/>
  <c r="I9" i="5" s="1"/>
  <c r="Q147" i="5"/>
  <c r="Q11" i="5" s="1"/>
  <c r="N413" i="6"/>
  <c r="N419" i="6" s="1"/>
  <c r="N35" i="6" s="1"/>
  <c r="L176" i="13"/>
  <c r="L16" i="13" s="1"/>
  <c r="Q254" i="15"/>
  <c r="Q22" i="15" s="1"/>
  <c r="N60" i="18"/>
  <c r="N66" i="18" s="1"/>
  <c r="N8" i="18" s="1"/>
  <c r="N481" i="5"/>
  <c r="Q481" i="5" s="1"/>
  <c r="Q487" i="5" s="1"/>
  <c r="Q39" i="5" s="1"/>
  <c r="L158" i="15"/>
  <c r="L14" i="15" s="1"/>
  <c r="N240" i="5"/>
  <c r="Q240" i="5" s="1"/>
  <c r="Q246" i="5" s="1"/>
  <c r="Q19" i="5" s="1"/>
  <c r="N213" i="18"/>
  <c r="Q213" i="18" s="1"/>
  <c r="Q219" i="18" s="1"/>
  <c r="Q19" i="18" s="1"/>
  <c r="L159" i="18"/>
  <c r="L14" i="18" s="1"/>
  <c r="L167" i="10"/>
  <c r="L15" i="10" s="1"/>
  <c r="N167" i="10"/>
  <c r="N15" i="10" s="1"/>
  <c r="L143" i="10"/>
  <c r="L13" i="10" s="1"/>
  <c r="I53" i="11"/>
  <c r="I8" i="11" s="1"/>
  <c r="N221" i="10"/>
  <c r="Q221" i="10" s="1"/>
  <c r="Q227" i="10" s="1"/>
  <c r="Q20" i="10" s="1"/>
  <c r="Q57" i="8"/>
  <c r="Q63" i="8" s="1"/>
  <c r="P11" i="22" s="1"/>
  <c r="L395" i="6"/>
  <c r="L33" i="6" s="1"/>
  <c r="L111" i="18"/>
  <c r="L10" i="18" s="1"/>
  <c r="S10" i="18" s="1"/>
  <c r="H16" i="22"/>
  <c r="H69" i="22" s="1"/>
  <c r="L407" i="6"/>
  <c r="L34" i="6" s="1"/>
  <c r="H11" i="8"/>
  <c r="G9" i="20" s="1"/>
  <c r="I186" i="5"/>
  <c r="I14" i="5" s="1"/>
  <c r="L180" i="5"/>
  <c r="L122" i="15"/>
  <c r="L11" i="15" s="1"/>
  <c r="Q254" i="13"/>
  <c r="Q260" i="13" s="1"/>
  <c r="Q23" i="13" s="1"/>
  <c r="L260" i="13"/>
  <c r="L23" i="13" s="1"/>
  <c r="F188" i="5"/>
  <c r="F14" i="5"/>
  <c r="N106" i="9"/>
  <c r="N112" i="9" s="1"/>
  <c r="N11" i="9" s="1"/>
  <c r="L42" i="19"/>
  <c r="N42" i="19" s="1"/>
  <c r="Q42" i="19" s="1"/>
  <c r="L48" i="11"/>
  <c r="N48" i="11" s="1"/>
  <c r="Q48" i="11" s="1"/>
  <c r="X9" i="11" s="1"/>
  <c r="F8" i="21"/>
  <c r="F14" i="21" s="1"/>
  <c r="F31" i="21"/>
  <c r="N407" i="6"/>
  <c r="N34" i="6" s="1"/>
  <c r="L258" i="5"/>
  <c r="L20" i="5" s="1"/>
  <c r="L254" i="15"/>
  <c r="L22" i="15" s="1"/>
  <c r="L157" i="12"/>
  <c r="L14" i="12" s="1"/>
  <c r="L121" i="12"/>
  <c r="L11" i="12" s="1"/>
  <c r="H8" i="21"/>
  <c r="H14" i="21" s="1"/>
  <c r="H46" i="17"/>
  <c r="H8" i="17" s="1"/>
  <c r="N254" i="15"/>
  <c r="N22" i="15" s="1"/>
  <c r="N134" i="15"/>
  <c r="N12" i="15" s="1"/>
  <c r="L251" i="6"/>
  <c r="L21" i="6" s="1"/>
  <c r="L156" i="7"/>
  <c r="L14" i="7" s="1"/>
  <c r="L451" i="5"/>
  <c r="L36" i="5" s="1"/>
  <c r="Q245" i="6"/>
  <c r="Q251" i="6" s="1"/>
  <c r="Q21" i="6" s="1"/>
  <c r="N117" i="18"/>
  <c r="N123" i="18" s="1"/>
  <c r="N11" i="18" s="1"/>
  <c r="N273" i="18"/>
  <c r="L279" i="18"/>
  <c r="L24" i="18" s="1"/>
  <c r="N225" i="18"/>
  <c r="Q225" i="18" s="1"/>
  <c r="Q231" i="18" s="1"/>
  <c r="Q20" i="18" s="1"/>
  <c r="L54" i="13"/>
  <c r="N54" i="13" s="1"/>
  <c r="Q54" i="13" s="1"/>
  <c r="L595" i="5"/>
  <c r="L48" i="5" s="1"/>
  <c r="L499" i="5"/>
  <c r="L40" i="5" s="1"/>
  <c r="N156" i="7"/>
  <c r="N14" i="7" s="1"/>
  <c r="I11" i="8"/>
  <c r="H9" i="20" s="1"/>
  <c r="L180" i="7"/>
  <c r="L16" i="7" s="1"/>
  <c r="I48" i="19"/>
  <c r="I8" i="19" s="1"/>
  <c r="F52" i="8"/>
  <c r="L120" i="7"/>
  <c r="L11" i="7" s="1"/>
  <c r="N174" i="7"/>
  <c r="N187" i="7"/>
  <c r="L192" i="7"/>
  <c r="L17" i="7" s="1"/>
  <c r="N318" i="5"/>
  <c r="N25" i="5" s="1"/>
  <c r="L403" i="5"/>
  <c r="L32" i="5" s="1"/>
  <c r="L154" i="5"/>
  <c r="N154" i="5" s="1"/>
  <c r="N147" i="5"/>
  <c r="N11" i="5" s="1"/>
  <c r="I84" i="4"/>
  <c r="I9" i="4" s="1"/>
  <c r="I14" i="4" s="1"/>
  <c r="H5" i="20" s="1"/>
  <c r="N26" i="4"/>
  <c r="N7" i="4" s="1"/>
  <c r="L195" i="18"/>
  <c r="L17" i="18" s="1"/>
  <c r="L72" i="13"/>
  <c r="N72" i="13" s="1"/>
  <c r="Q72" i="13" s="1"/>
  <c r="G53" i="13"/>
  <c r="G59" i="13" s="1"/>
  <c r="G8" i="13" s="1"/>
  <c r="I53" i="13"/>
  <c r="I59" i="13" s="1"/>
  <c r="I8" i="13" s="1"/>
  <c r="L38" i="8"/>
  <c r="N38" i="8" s="1"/>
  <c r="Q38" i="8" s="1"/>
  <c r="L263" i="6"/>
  <c r="L22" i="6" s="1"/>
  <c r="L391" i="5"/>
  <c r="L31" i="5" s="1"/>
  <c r="F27" i="5"/>
  <c r="F344" i="5"/>
  <c r="L336" i="5"/>
  <c r="G342" i="5"/>
  <c r="G27" i="5" s="1"/>
  <c r="L147" i="5"/>
  <c r="L11" i="5" s="1"/>
  <c r="G20" i="21"/>
  <c r="AB61" i="3"/>
  <c r="X7" i="3"/>
  <c r="L104" i="13"/>
  <c r="L10" i="13" s="1"/>
  <c r="V7" i="5"/>
  <c r="L82" i="18"/>
  <c r="G85" i="18"/>
  <c r="F21" i="22" s="1"/>
  <c r="L79" i="10"/>
  <c r="O96" i="6"/>
  <c r="J85" i="18"/>
  <c r="I21" i="22" s="1"/>
  <c r="L242" i="15"/>
  <c r="L21" i="15" s="1"/>
  <c r="N236" i="15"/>
  <c r="J96" i="6"/>
  <c r="M82" i="7"/>
  <c r="P82" i="7"/>
  <c r="H85" i="18"/>
  <c r="G21" i="22" s="1"/>
  <c r="J82" i="7"/>
  <c r="K85" i="18"/>
  <c r="J21" i="22" s="1"/>
  <c r="K85" i="12"/>
  <c r="J73" i="4"/>
  <c r="H82" i="7"/>
  <c r="G10" i="22" s="1"/>
  <c r="G63" i="22" s="1"/>
  <c r="H82" i="16"/>
  <c r="G45" i="22" s="1"/>
  <c r="M85" i="18"/>
  <c r="L21" i="22" s="1"/>
  <c r="J15" i="22"/>
  <c r="K90" i="13"/>
  <c r="J42" i="22" s="1"/>
  <c r="K82" i="7"/>
  <c r="J82" i="16"/>
  <c r="I45" i="22" s="1"/>
  <c r="O85" i="18"/>
  <c r="N21" i="22" s="1"/>
  <c r="M93" i="6"/>
  <c r="M95" i="6"/>
  <c r="K79" i="19"/>
  <c r="J48" i="22" s="1"/>
  <c r="N493" i="5"/>
  <c r="N499" i="5" s="1"/>
  <c r="N40" i="5" s="1"/>
  <c r="K77" i="17"/>
  <c r="J46" i="22" s="1"/>
  <c r="L145" i="12"/>
  <c r="L13" i="12" s="1"/>
  <c r="K9" i="21"/>
  <c r="K96" i="15"/>
  <c r="J44" i="22" s="1"/>
  <c r="G82" i="16"/>
  <c r="F45" i="22" s="1"/>
  <c r="N59" i="17"/>
  <c r="G94" i="7"/>
  <c r="P94" i="7"/>
  <c r="G86" i="12"/>
  <c r="M81" i="10"/>
  <c r="O82" i="7"/>
  <c r="N10" i="22" s="1"/>
  <c r="N63" i="22" s="1"/>
  <c r="L31" i="15"/>
  <c r="N31" i="15" s="1"/>
  <c r="N37" i="15" s="1"/>
  <c r="Q189" i="18"/>
  <c r="Q195" i="18" s="1"/>
  <c r="Q17" i="18" s="1"/>
  <c r="I15" i="22"/>
  <c r="G90" i="13"/>
  <c r="F42" i="22" s="1"/>
  <c r="P81" i="10"/>
  <c r="L79" i="7"/>
  <c r="M82" i="16"/>
  <c r="L45" i="22" s="1"/>
  <c r="J68" i="3"/>
  <c r="J94" i="7"/>
  <c r="H90" i="13"/>
  <c r="G42" i="22" s="1"/>
  <c r="J81" i="10"/>
  <c r="O93" i="6"/>
  <c r="O95" i="6"/>
  <c r="L80" i="7"/>
  <c r="L78" i="10"/>
  <c r="G81" i="10"/>
  <c r="K94" i="7"/>
  <c r="L109" i="12"/>
  <c r="L10" i="12" s="1"/>
  <c r="N103" i="12"/>
  <c r="J105" i="6"/>
  <c r="I35" i="22" s="1"/>
  <c r="H81" i="10"/>
  <c r="H95" i="6"/>
  <c r="L57" i="10"/>
  <c r="N57" i="10" s="1"/>
  <c r="Q57" i="10" s="1"/>
  <c r="H62" i="10"/>
  <c r="H8" i="10" s="1"/>
  <c r="K81" i="10"/>
  <c r="J93" i="6"/>
  <c r="J95" i="6"/>
  <c r="N201" i="18"/>
  <c r="Q201" i="18" s="1"/>
  <c r="Q207" i="18" s="1"/>
  <c r="Q18" i="18" s="1"/>
  <c r="L183" i="18"/>
  <c r="L16" i="18" s="1"/>
  <c r="J6" i="22"/>
  <c r="L6" i="22"/>
  <c r="N104" i="15"/>
  <c r="N110" i="15" s="1"/>
  <c r="N10" i="15" s="1"/>
  <c r="H31" i="21"/>
  <c r="I7" i="15"/>
  <c r="F8" i="15"/>
  <c r="I59" i="15"/>
  <c r="I65" i="15" s="1"/>
  <c r="I8" i="15" s="1"/>
  <c r="G59" i="15"/>
  <c r="G65" i="15" s="1"/>
  <c r="G8" i="15" s="1"/>
  <c r="L34" i="10"/>
  <c r="K26" i="21" s="1"/>
  <c r="L181" i="12"/>
  <c r="L16" i="12" s="1"/>
  <c r="L193" i="12"/>
  <c r="N187" i="12"/>
  <c r="Q324" i="5"/>
  <c r="Q330" i="5" s="1"/>
  <c r="Q26" i="5" s="1"/>
  <c r="L330" i="5"/>
  <c r="L26" i="5" s="1"/>
  <c r="N192" i="5"/>
  <c r="L198" i="5"/>
  <c r="L15" i="5" s="1"/>
  <c r="I15" i="3"/>
  <c r="H4" i="20" s="1"/>
  <c r="I14" i="16"/>
  <c r="H17" i="20" s="1"/>
  <c r="I97" i="12"/>
  <c r="I9" i="12" s="1"/>
  <c r="L607" i="5"/>
  <c r="L49" i="5" s="1"/>
  <c r="N595" i="5"/>
  <c r="N48" i="5" s="1"/>
  <c r="Q589" i="5"/>
  <c r="Q595" i="5" s="1"/>
  <c r="Q48" i="5" s="1"/>
  <c r="N506" i="5"/>
  <c r="L511" i="5"/>
  <c r="L41" i="5" s="1"/>
  <c r="N362" i="5"/>
  <c r="L367" i="5"/>
  <c r="L29" i="5" s="1"/>
  <c r="L355" i="5"/>
  <c r="L28" i="5" s="1"/>
  <c r="N349" i="5"/>
  <c r="N607" i="5"/>
  <c r="N49" i="5" s="1"/>
  <c r="Q601" i="5"/>
  <c r="Q607" i="5" s="1"/>
  <c r="Q49" i="5" s="1"/>
  <c r="L415" i="5"/>
  <c r="L33" i="5" s="1"/>
  <c r="N409" i="5"/>
  <c r="L168" i="7"/>
  <c r="L15" i="7" s="1"/>
  <c r="L266" i="15"/>
  <c r="L23" i="15" s="1"/>
  <c r="I12" i="17"/>
  <c r="H18" i="20" s="1"/>
  <c r="F8" i="13"/>
  <c r="L104" i="3"/>
  <c r="L11" i="3" s="1"/>
  <c r="L96" i="4"/>
  <c r="L10" i="4" s="1"/>
  <c r="Q138" i="7"/>
  <c r="Q144" i="7" s="1"/>
  <c r="Q13" i="7" s="1"/>
  <c r="N144" i="7"/>
  <c r="N13" i="7" s="1"/>
  <c r="L108" i="7"/>
  <c r="L10" i="7" s="1"/>
  <c r="N102" i="7"/>
  <c r="L131" i="10"/>
  <c r="L12" i="10" s="1"/>
  <c r="N96" i="4"/>
  <c r="N10" i="4" s="1"/>
  <c r="Q90" i="4"/>
  <c r="Q96" i="4" s="1"/>
  <c r="Q10" i="4" s="1"/>
  <c r="L26" i="4"/>
  <c r="L7" i="4" s="1"/>
  <c r="L38" i="18"/>
  <c r="L7" i="18" s="1"/>
  <c r="F15" i="18"/>
  <c r="F173" i="18"/>
  <c r="G171" i="18"/>
  <c r="G15" i="18" s="1"/>
  <c r="L165" i="18"/>
  <c r="N183" i="18"/>
  <c r="N16" i="18" s="1"/>
  <c r="Q183" i="18"/>
  <c r="N152" i="13"/>
  <c r="N14" i="13" s="1"/>
  <c r="Q146" i="13"/>
  <c r="Q152" i="13" s="1"/>
  <c r="Q14" i="13" s="1"/>
  <c r="N230" i="13"/>
  <c r="L236" i="13"/>
  <c r="L21" i="13" s="1"/>
  <c r="N135" i="13"/>
  <c r="L140" i="13"/>
  <c r="L13" i="13" s="1"/>
  <c r="N197" i="10"/>
  <c r="L203" i="10"/>
  <c r="L18" i="10" s="1"/>
  <c r="L146" i="9"/>
  <c r="L14" i="9" s="1"/>
  <c r="H65" i="22"/>
  <c r="I88" i="9"/>
  <c r="I9" i="9" s="1"/>
  <c r="Q143" i="6"/>
  <c r="Q12" i="6" s="1"/>
  <c r="F32" i="21"/>
  <c r="G7" i="16"/>
  <c r="N20" i="16"/>
  <c r="L26" i="16"/>
  <c r="L218" i="15"/>
  <c r="L19" i="15" s="1"/>
  <c r="N182" i="15"/>
  <c r="N16" i="15" s="1"/>
  <c r="Q176" i="15"/>
  <c r="Q182" i="15" s="1"/>
  <c r="Q16" i="15" s="1"/>
  <c r="Q153" i="15"/>
  <c r="Q158" i="15" s="1"/>
  <c r="Q14" i="15" s="1"/>
  <c r="N158" i="15"/>
  <c r="N14" i="15" s="1"/>
  <c r="N266" i="15"/>
  <c r="N23" i="15" s="1"/>
  <c r="Q260" i="15"/>
  <c r="Q266" i="15" s="1"/>
  <c r="Q23" i="15" s="1"/>
  <c r="L40" i="17"/>
  <c r="L46" i="17" s="1"/>
  <c r="Q44" i="16"/>
  <c r="X7" i="16" s="1"/>
  <c r="I12" i="14"/>
  <c r="H15" i="20" s="1"/>
  <c r="N203" i="6"/>
  <c r="N17" i="6" s="1"/>
  <c r="L203" i="6"/>
  <c r="L17" i="6" s="1"/>
  <c r="N143" i="6"/>
  <c r="N12" i="6" s="1"/>
  <c r="L143" i="6"/>
  <c r="L12" i="6" s="1"/>
  <c r="N174" i="6"/>
  <c r="L179" i="6"/>
  <c r="L15" i="6" s="1"/>
  <c r="I22" i="10"/>
  <c r="H11" i="20" s="1"/>
  <c r="L56" i="10"/>
  <c r="F8" i="10"/>
  <c r="F70" i="10"/>
  <c r="L107" i="10"/>
  <c r="L10" i="10" s="1"/>
  <c r="Q101" i="10"/>
  <c r="Q107" i="10" s="1"/>
  <c r="Q10" i="10" s="1"/>
  <c r="N107" i="10"/>
  <c r="N10" i="10" s="1"/>
  <c r="N173" i="10"/>
  <c r="Q173" i="10" s="1"/>
  <c r="Q179" i="10" s="1"/>
  <c r="Q16" i="10" s="1"/>
  <c r="F26" i="21"/>
  <c r="G7" i="10"/>
  <c r="N69" i="8"/>
  <c r="L75" i="8"/>
  <c r="N227" i="6"/>
  <c r="N19" i="6" s="1"/>
  <c r="Q221" i="6"/>
  <c r="Q227" i="6" s="1"/>
  <c r="Q19" i="6" s="1"/>
  <c r="N149" i="10"/>
  <c r="L155" i="10"/>
  <c r="L14" i="10" s="1"/>
  <c r="G7" i="4"/>
  <c r="F20" i="21"/>
  <c r="Q99" i="6"/>
  <c r="N146" i="9"/>
  <c r="N14" i="9" s="1"/>
  <c r="Q140" i="9"/>
  <c r="Q146" i="9" s="1"/>
  <c r="Q14" i="9" s="1"/>
  <c r="N613" i="5"/>
  <c r="L619" i="5"/>
  <c r="L50" i="5" s="1"/>
  <c r="H47" i="3"/>
  <c r="L45" i="4"/>
  <c r="N115" i="4"/>
  <c r="L120" i="4"/>
  <c r="L12" i="4" s="1"/>
  <c r="N143" i="10"/>
  <c r="N13" i="10" s="1"/>
  <c r="Q137" i="10"/>
  <c r="Q143" i="10" s="1"/>
  <c r="Q13" i="10" s="1"/>
  <c r="Q114" i="7"/>
  <c r="Q120" i="7" s="1"/>
  <c r="Q11" i="7" s="1"/>
  <c r="N120" i="7"/>
  <c r="N11" i="7" s="1"/>
  <c r="Q106" i="11"/>
  <c r="Q112" i="11" s="1"/>
  <c r="Q11" i="11" s="1"/>
  <c r="N112" i="11"/>
  <c r="N11" i="11" s="1"/>
  <c r="N76" i="7"/>
  <c r="N168" i="7"/>
  <c r="N15" i="7" s="1"/>
  <c r="Q162" i="7"/>
  <c r="Q168" i="7" s="1"/>
  <c r="Q15" i="7" s="1"/>
  <c r="N145" i="12"/>
  <c r="N13" i="12" s="1"/>
  <c r="Q139" i="12"/>
  <c r="Q145" i="12" s="1"/>
  <c r="Q13" i="12" s="1"/>
  <c r="N206" i="15"/>
  <c r="N18" i="15" s="1"/>
  <c r="Q200" i="15"/>
  <c r="Q206" i="15" s="1"/>
  <c r="Q18" i="15" s="1"/>
  <c r="N80" i="9"/>
  <c r="L86" i="9"/>
  <c r="N127" i="12"/>
  <c r="L133" i="12"/>
  <c r="L12" i="12" s="1"/>
  <c r="N529" i="5"/>
  <c r="L535" i="5"/>
  <c r="L43" i="5" s="1"/>
  <c r="Q252" i="5"/>
  <c r="Q258" i="5" s="1"/>
  <c r="Q20" i="5" s="1"/>
  <c r="N258" i="5"/>
  <c r="N20" i="5" s="1"/>
  <c r="N122" i="15"/>
  <c r="N11" i="15" s="1"/>
  <c r="Q116" i="15"/>
  <c r="Q122" i="15" s="1"/>
  <c r="Q11" i="15" s="1"/>
  <c r="N65" i="4"/>
  <c r="G11" i="8"/>
  <c r="F9" i="20" s="1"/>
  <c r="Q377" i="6"/>
  <c r="Q383" i="6" s="1"/>
  <c r="Q32" i="6" s="1"/>
  <c r="N383" i="6"/>
  <c r="N32" i="6" s="1"/>
  <c r="N60" i="3"/>
  <c r="L46" i="4"/>
  <c r="N46" i="4" s="1"/>
  <c r="Q46" i="4" s="1"/>
  <c r="H51" i="4"/>
  <c r="H8" i="4" s="1"/>
  <c r="G63" i="7"/>
  <c r="G8" i="7" s="1"/>
  <c r="Q445" i="5"/>
  <c r="Q451" i="5" s="1"/>
  <c r="Q36" i="5" s="1"/>
  <c r="N451" i="5"/>
  <c r="N36" i="5" s="1"/>
  <c r="N115" i="5"/>
  <c r="N125" i="6"/>
  <c r="L131" i="6"/>
  <c r="L11" i="6" s="1"/>
  <c r="L27" i="3"/>
  <c r="Q88" i="7"/>
  <c r="Q22" i="9"/>
  <c r="N28" i="9"/>
  <c r="H63" i="7"/>
  <c r="H8" i="7" s="1"/>
  <c r="N239" i="6"/>
  <c r="N20" i="6" s="1"/>
  <c r="Q233" i="6"/>
  <c r="Q239" i="6" s="1"/>
  <c r="Q20" i="6" s="1"/>
  <c r="Q129" i="9"/>
  <c r="Q135" i="9" s="1"/>
  <c r="Q13" i="9" s="1"/>
  <c r="N135" i="9"/>
  <c r="N13" i="9" s="1"/>
  <c r="N282" i="5"/>
  <c r="N22" i="5" s="1"/>
  <c r="Q276" i="5"/>
  <c r="Q282" i="5" s="1"/>
  <c r="Q22" i="5" s="1"/>
  <c r="L215" i="10"/>
  <c r="L19" i="10" s="1"/>
  <c r="N209" i="10"/>
  <c r="L84" i="11"/>
  <c r="N78" i="11"/>
  <c r="N28" i="12"/>
  <c r="L34" i="12"/>
  <c r="L72" i="11"/>
  <c r="M73" i="11" s="1"/>
  <c r="N66" i="11"/>
  <c r="L96" i="16"/>
  <c r="L10" i="16" s="1"/>
  <c r="N90" i="16"/>
  <c r="Q281" i="6"/>
  <c r="Q287" i="6" s="1"/>
  <c r="Q24" i="6" s="1"/>
  <c r="N287" i="6"/>
  <c r="N24" i="6" s="1"/>
  <c r="N293" i="6"/>
  <c r="L299" i="6"/>
  <c r="L25" i="6" s="1"/>
  <c r="N553" i="5"/>
  <c r="L559" i="5"/>
  <c r="L45" i="5" s="1"/>
  <c r="L255" i="18"/>
  <c r="L22" i="18" s="1"/>
  <c r="N249" i="18"/>
  <c r="Q17" i="8"/>
  <c r="N23" i="8"/>
  <c r="N104" i="5"/>
  <c r="N300" i="5"/>
  <c r="L306" i="5"/>
  <c r="L24" i="5" s="1"/>
  <c r="N87" i="19"/>
  <c r="L93" i="19"/>
  <c r="L10" i="19" s="1"/>
  <c r="N288" i="5"/>
  <c r="L294" i="5"/>
  <c r="L23" i="5" s="1"/>
  <c r="Q175" i="12"/>
  <c r="Q181" i="12" s="1"/>
  <c r="Q16" i="12" s="1"/>
  <c r="N181" i="12"/>
  <c r="N16" i="12" s="1"/>
  <c r="Q71" i="17"/>
  <c r="N129" i="18"/>
  <c r="L135" i="18"/>
  <c r="L12" i="18" s="1"/>
  <c r="L217" i="12"/>
  <c r="L19" i="12" s="1"/>
  <c r="L229" i="12"/>
  <c r="L20" i="12" s="1"/>
  <c r="N223" i="12"/>
  <c r="H14" i="22"/>
  <c r="I86" i="11"/>
  <c r="I9" i="11" s="1"/>
  <c r="N158" i="13"/>
  <c r="L164" i="13"/>
  <c r="L15" i="13" s="1"/>
  <c r="H64" i="12"/>
  <c r="H8" i="12" s="1"/>
  <c r="L59" i="12"/>
  <c r="N59" i="12" s="1"/>
  <c r="Q59" i="12" s="1"/>
  <c r="X9" i="12" s="1"/>
  <c r="N577" i="5"/>
  <c r="L583" i="5"/>
  <c r="L47" i="5" s="1"/>
  <c r="N26" i="7"/>
  <c r="L32" i="7"/>
  <c r="N89" i="12"/>
  <c r="L92" i="3"/>
  <c r="L10" i="3" s="1"/>
  <c r="N86" i="3"/>
  <c r="N130" i="11"/>
  <c r="L136" i="11"/>
  <c r="L13" i="11" s="1"/>
  <c r="N159" i="18"/>
  <c r="N14" i="18" s="1"/>
  <c r="Q153" i="18"/>
  <c r="Q159" i="18" s="1"/>
  <c r="Q14" i="18" s="1"/>
  <c r="Q19" i="17"/>
  <c r="X9" i="17" s="1"/>
  <c r="N24" i="17"/>
  <c r="N104" i="3"/>
  <c r="N11" i="3" s="1"/>
  <c r="Q98" i="3"/>
  <c r="Q104" i="3" s="1"/>
  <c r="Q76" i="16"/>
  <c r="N38" i="18"/>
  <c r="Q32" i="18"/>
  <c r="N541" i="5"/>
  <c r="L547" i="5"/>
  <c r="L44" i="5" s="1"/>
  <c r="Q39" i="17"/>
  <c r="L27" i="11"/>
  <c r="N43" i="6"/>
  <c r="L49" i="6"/>
  <c r="G7" i="5"/>
  <c r="N102" i="16"/>
  <c r="L108" i="16"/>
  <c r="L11" i="16" s="1"/>
  <c r="F19" i="21"/>
  <c r="G7" i="3"/>
  <c r="Q359" i="6"/>
  <c r="Q30" i="6" s="1"/>
  <c r="N359" i="6"/>
  <c r="N30" i="6" s="1"/>
  <c r="X7" i="11"/>
  <c r="P7" i="21"/>
  <c r="N186" i="6"/>
  <c r="L191" i="6"/>
  <c r="L16" i="6" s="1"/>
  <c r="G56" i="9"/>
  <c r="G8" i="9" s="1"/>
  <c r="G16" i="9" s="1"/>
  <c r="F10" i="20" s="1"/>
  <c r="L50" i="9"/>
  <c r="Q55" i="10"/>
  <c r="N69" i="14"/>
  <c r="N126" i="7"/>
  <c r="L132" i="7"/>
  <c r="L12" i="7" s="1"/>
  <c r="N72" i="3"/>
  <c r="L571" i="5"/>
  <c r="L46" i="5" s="1"/>
  <c r="N565" i="5"/>
  <c r="I7" i="5"/>
  <c r="N224" i="15"/>
  <c r="L230" i="15"/>
  <c r="L20" i="15" s="1"/>
  <c r="Q44" i="4"/>
  <c r="X7" i="12"/>
  <c r="L38" i="14"/>
  <c r="G44" i="14"/>
  <c r="G8" i="14" s="1"/>
  <c r="L45" i="16"/>
  <c r="G51" i="16"/>
  <c r="G8" i="16" s="1"/>
  <c r="N85" i="17"/>
  <c r="L91" i="17"/>
  <c r="L10" i="17" s="1"/>
  <c r="Q115" i="12"/>
  <c r="Q121" i="12" s="1"/>
  <c r="Q11" i="12" s="1"/>
  <c r="N121" i="12"/>
  <c r="N11" i="12" s="1"/>
  <c r="Q125" i="10"/>
  <c r="Q131" i="10" s="1"/>
  <c r="Q12" i="10" s="1"/>
  <c r="N131" i="10"/>
  <c r="N12" i="10" s="1"/>
  <c r="L335" i="6"/>
  <c r="L28" i="6" s="1"/>
  <c r="N329" i="6"/>
  <c r="L323" i="6"/>
  <c r="L27" i="6" s="1"/>
  <c r="N317" i="6"/>
  <c r="N433" i="5"/>
  <c r="L439" i="5"/>
  <c r="L35" i="5" s="1"/>
  <c r="Q65" i="16"/>
  <c r="F8" i="3"/>
  <c r="L205" i="12"/>
  <c r="L18" i="12" s="1"/>
  <c r="N118" i="11"/>
  <c r="L124" i="11"/>
  <c r="L12" i="11" s="1"/>
  <c r="L119" i="6"/>
  <c r="L10" i="6" s="1"/>
  <c r="L100" i="9"/>
  <c r="L10" i="9" s="1"/>
  <c r="N94" i="9"/>
  <c r="N365" i="6"/>
  <c r="L371" i="6"/>
  <c r="L31" i="6" s="1"/>
  <c r="N164" i="15"/>
  <c r="L170" i="15"/>
  <c r="L15" i="15" s="1"/>
  <c r="N269" i="6"/>
  <c r="L275" i="6"/>
  <c r="L23" i="6" s="1"/>
  <c r="N122" i="13"/>
  <c r="L128" i="13"/>
  <c r="L12" i="13" s="1"/>
  <c r="N61" i="19"/>
  <c r="N204" i="5"/>
  <c r="L210" i="5"/>
  <c r="L16" i="5" s="1"/>
  <c r="Q141" i="18"/>
  <c r="Q147" i="18" s="1"/>
  <c r="Q13" i="18" s="1"/>
  <c r="N147" i="18"/>
  <c r="N13" i="18" s="1"/>
  <c r="N31" i="13"/>
  <c r="L37" i="13"/>
  <c r="I51" i="9"/>
  <c r="I56" i="9" s="1"/>
  <c r="I8" i="9" s="1"/>
  <c r="H51" i="9"/>
  <c r="Q48" i="9"/>
  <c r="Q79" i="18"/>
  <c r="Q151" i="12"/>
  <c r="Q157" i="12" s="1"/>
  <c r="Q14" i="12" s="1"/>
  <c r="N157" i="12"/>
  <c r="N14" i="12" s="1"/>
  <c r="Q111" i="3"/>
  <c r="Q116" i="3" s="1"/>
  <c r="Q12" i="3" s="1"/>
  <c r="N116" i="3"/>
  <c r="N12" i="3" s="1"/>
  <c r="N149" i="6"/>
  <c r="L155" i="6"/>
  <c r="L13" i="6" s="1"/>
  <c r="N198" i="7"/>
  <c r="L204" i="7"/>
  <c r="L18" i="7" s="1"/>
  <c r="Q75" i="10"/>
  <c r="F23" i="21"/>
  <c r="G7" i="7"/>
  <c r="N91" i="18"/>
  <c r="Q29" i="10"/>
  <c r="N34" i="10"/>
  <c r="H50" i="22"/>
  <c r="H59" i="22"/>
  <c r="N114" i="16"/>
  <c r="L120" i="16"/>
  <c r="L12" i="16" s="1"/>
  <c r="F52" i="14"/>
  <c r="F8" i="14"/>
  <c r="L39" i="14"/>
  <c r="N39" i="14" s="1"/>
  <c r="Q39" i="14" s="1"/>
  <c r="X9" i="14" s="1"/>
  <c r="H44" i="14"/>
  <c r="H8" i="14" s="1"/>
  <c r="I81" i="19"/>
  <c r="I9" i="19" s="1"/>
  <c r="H22" i="22"/>
  <c r="H75" i="22" s="1"/>
  <c r="N116" i="13"/>
  <c r="N11" i="13" s="1"/>
  <c r="Q110" i="13"/>
  <c r="Q116" i="13" s="1"/>
  <c r="Q11" i="13" s="1"/>
  <c r="L234" i="5"/>
  <c r="L18" i="5" s="1"/>
  <c r="N228" i="5"/>
  <c r="L212" i="13"/>
  <c r="L19" i="13" s="1"/>
  <c r="N206" i="13"/>
  <c r="N135" i="5"/>
  <c r="N10" i="5" s="1"/>
  <c r="Q129" i="5"/>
  <c r="Q135" i="5" s="1"/>
  <c r="Q10" i="5" s="1"/>
  <c r="Q70" i="9"/>
  <c r="Q75" i="9" s="1"/>
  <c r="N75" i="9"/>
  <c r="Q166" i="5"/>
  <c r="Q172" i="5" s="1"/>
  <c r="Q13" i="5" s="1"/>
  <c r="N172" i="5"/>
  <c r="N13" i="5" s="1"/>
  <c r="N77" i="12"/>
  <c r="E37" i="21"/>
  <c r="I7" i="12"/>
  <c r="H28" i="21"/>
  <c r="Q385" i="5"/>
  <c r="Q391" i="5" s="1"/>
  <c r="Q31" i="5" s="1"/>
  <c r="N391" i="5"/>
  <c r="N31" i="5" s="1"/>
  <c r="N163" i="12"/>
  <c r="L169" i="12"/>
  <c r="L15" i="12" s="1"/>
  <c r="N373" i="5"/>
  <c r="L379" i="5"/>
  <c r="L30" i="5" s="1"/>
  <c r="L60" i="15"/>
  <c r="N60" i="15" s="1"/>
  <c r="Q60" i="15" s="1"/>
  <c r="H65" i="15"/>
  <c r="H8" i="15" s="1"/>
  <c r="N237" i="18"/>
  <c r="L243" i="18"/>
  <c r="L21" i="18" s="1"/>
  <c r="N263" i="6"/>
  <c r="N22" i="6" s="1"/>
  <c r="Q257" i="6"/>
  <c r="Q263" i="6" s="1"/>
  <c r="Q22" i="6" s="1"/>
  <c r="Q85" i="13"/>
  <c r="L89" i="14"/>
  <c r="L10" i="14" s="1"/>
  <c r="N83" i="14"/>
  <c r="N104" i="13"/>
  <c r="N10" i="13" s="1"/>
  <c r="Q98" i="13"/>
  <c r="Q104" i="13" s="1"/>
  <c r="Q10" i="13" s="1"/>
  <c r="N123" i="3"/>
  <c r="L128" i="3"/>
  <c r="L13" i="3" s="1"/>
  <c r="N91" i="15"/>
  <c r="I68" i="6"/>
  <c r="I74" i="6" s="1"/>
  <c r="I8" i="6" s="1"/>
  <c r="G68" i="6"/>
  <c r="F74" i="6"/>
  <c r="F82" i="6" s="1"/>
  <c r="G7" i="11"/>
  <c r="G15" i="11" s="1"/>
  <c r="F12" i="20" s="1"/>
  <c r="F27" i="21"/>
  <c r="G7" i="6"/>
  <c r="F22" i="21"/>
  <c r="L66" i="5"/>
  <c r="K21" i="21" s="1"/>
  <c r="N60" i="5"/>
  <c r="L200" i="13"/>
  <c r="L18" i="13" s="1"/>
  <c r="N194" i="13"/>
  <c r="N209" i="6"/>
  <c r="L215" i="6"/>
  <c r="L18" i="6" s="1"/>
  <c r="L147" i="18"/>
  <c r="L13" i="18" s="1"/>
  <c r="F29" i="21"/>
  <c r="G7" i="13"/>
  <c r="L146" i="15"/>
  <c r="L13" i="15" s="1"/>
  <c r="N140" i="15"/>
  <c r="K25" i="21"/>
  <c r="L7" i="9"/>
  <c r="N111" i="18"/>
  <c r="N10" i="18" s="1"/>
  <c r="Q105" i="18"/>
  <c r="Q111" i="18" s="1"/>
  <c r="Q10" i="18" s="1"/>
  <c r="N341" i="6"/>
  <c r="L347" i="6"/>
  <c r="L222" i="5"/>
  <c r="L17" i="5" s="1"/>
  <c r="N216" i="5"/>
  <c r="N188" i="13"/>
  <c r="N17" i="13" s="1"/>
  <c r="Q182" i="13"/>
  <c r="Q188" i="13" s="1"/>
  <c r="Q17" i="13" s="1"/>
  <c r="N517" i="5"/>
  <c r="L523" i="5"/>
  <c r="L42" i="5" s="1"/>
  <c r="N57" i="14"/>
  <c r="Q26" i="4"/>
  <c r="L311" i="6"/>
  <c r="L26" i="6" s="1"/>
  <c r="N305" i="6"/>
  <c r="X7" i="8"/>
  <c r="L248" i="13"/>
  <c r="L22" i="13" s="1"/>
  <c r="N242" i="13"/>
  <c r="F8" i="16"/>
  <c r="F59" i="16"/>
  <c r="F30" i="21"/>
  <c r="G7" i="14"/>
  <c r="Q397" i="5"/>
  <c r="Q403" i="5" s="1"/>
  <c r="Q32" i="5" s="1"/>
  <c r="N403" i="5"/>
  <c r="N32" i="5" s="1"/>
  <c r="N261" i="18"/>
  <c r="L267" i="18"/>
  <c r="L23" i="18" s="1"/>
  <c r="N88" i="6"/>
  <c r="L41" i="3"/>
  <c r="G47" i="3"/>
  <c r="G8" i="3" s="1"/>
  <c r="Q213" i="15"/>
  <c r="Q218" i="15" s="1"/>
  <c r="Q19" i="15" s="1"/>
  <c r="N218" i="15"/>
  <c r="N19" i="15" s="1"/>
  <c r="N108" i="4"/>
  <c r="N11" i="4" s="1"/>
  <c r="Q102" i="4"/>
  <c r="N457" i="5"/>
  <c r="L463" i="5"/>
  <c r="L37" i="5" s="1"/>
  <c r="Q95" i="18" l="1"/>
  <c r="Q94" i="15"/>
  <c r="J86" i="15"/>
  <c r="L73" i="14"/>
  <c r="N73" i="14" s="1"/>
  <c r="Q73" i="14" s="1"/>
  <c r="M65" i="14"/>
  <c r="P93" i="10"/>
  <c r="O39" i="22" s="1"/>
  <c r="T42" i="8"/>
  <c r="Q44" i="8"/>
  <c r="Q8" i="8" s="1"/>
  <c r="L106" i="5"/>
  <c r="S79" i="4"/>
  <c r="H68" i="3"/>
  <c r="G78" i="3"/>
  <c r="F32" i="22" s="1"/>
  <c r="F59" i="22" s="1"/>
  <c r="L107" i="5"/>
  <c r="N107" i="5" s="1"/>
  <c r="Q107" i="5" s="1"/>
  <c r="L91" i="10"/>
  <c r="N91" i="10" s="1"/>
  <c r="Q91" i="10" s="1"/>
  <c r="L7" i="17"/>
  <c r="R10" i="9"/>
  <c r="I37" i="6"/>
  <c r="H7" i="20" s="1"/>
  <c r="G88" i="18"/>
  <c r="N18" i="14"/>
  <c r="M8" i="21" s="1"/>
  <c r="M14" i="21" s="1"/>
  <c r="L224" i="13"/>
  <c r="L20" i="13" s="1"/>
  <c r="S12" i="13" s="1"/>
  <c r="N224" i="13"/>
  <c r="N20" i="13" s="1"/>
  <c r="L93" i="12"/>
  <c r="N93" i="12" s="1"/>
  <c r="Q93" i="12" s="1"/>
  <c r="N469" i="5"/>
  <c r="N475" i="5" s="1"/>
  <c r="N38" i="5" s="1"/>
  <c r="R13" i="9"/>
  <c r="N487" i="5"/>
  <c r="N39" i="5" s="1"/>
  <c r="L119" i="10"/>
  <c r="L11" i="10" s="1"/>
  <c r="S11" i="10" s="1"/>
  <c r="N74" i="22"/>
  <c r="X7" i="17"/>
  <c r="Q113" i="10"/>
  <c r="Q119" i="10" s="1"/>
  <c r="Q11" i="10" s="1"/>
  <c r="K11" i="22"/>
  <c r="K64" i="22" s="1"/>
  <c r="M64" i="8"/>
  <c r="L7" i="8"/>
  <c r="K12" i="22"/>
  <c r="K65" i="22" s="1"/>
  <c r="M76" i="9"/>
  <c r="F80" i="3"/>
  <c r="F9" i="3" s="1"/>
  <c r="E6" i="22"/>
  <c r="E59" i="22" s="1"/>
  <c r="X7" i="18"/>
  <c r="I25" i="13"/>
  <c r="H14" i="20" s="1"/>
  <c r="G37" i="21"/>
  <c r="G82" i="4"/>
  <c r="F33" i="22" s="1"/>
  <c r="K72" i="4"/>
  <c r="O20" i="22"/>
  <c r="O73" i="22" s="1"/>
  <c r="P79" i="17"/>
  <c r="P9" i="17" s="1"/>
  <c r="P12" i="17" s="1"/>
  <c r="O18" i="20" s="1"/>
  <c r="M69" i="3"/>
  <c r="M70" i="4"/>
  <c r="L7" i="22" s="1"/>
  <c r="F77" i="17"/>
  <c r="E46" i="22" s="1"/>
  <c r="H82" i="4"/>
  <c r="G33" i="22" s="1"/>
  <c r="F84" i="15"/>
  <c r="E18" i="22" s="1"/>
  <c r="E71" i="22" s="1"/>
  <c r="E8" i="22"/>
  <c r="F79" i="19"/>
  <c r="E48" i="22" s="1"/>
  <c r="H72" i="4"/>
  <c r="F305" i="18"/>
  <c r="E15" i="22"/>
  <c r="E68" i="22" s="1"/>
  <c r="F97" i="12"/>
  <c r="F70" i="16"/>
  <c r="E19" i="22" s="1"/>
  <c r="E72" i="22" s="1"/>
  <c r="F63" i="14"/>
  <c r="E17" i="22" s="1"/>
  <c r="E70" i="22" s="1"/>
  <c r="K82" i="4"/>
  <c r="J33" i="22" s="1"/>
  <c r="F96" i="15"/>
  <c r="E44" i="22" s="1"/>
  <c r="F75" i="14"/>
  <c r="E43" i="22" s="1"/>
  <c r="E13" i="22"/>
  <c r="E66" i="22" s="1"/>
  <c r="F95" i="10"/>
  <c r="F78" i="13"/>
  <c r="F92" i="13" s="1"/>
  <c r="F93" i="6"/>
  <c r="F95" i="12"/>
  <c r="E41" i="22" s="1"/>
  <c r="F121" i="5"/>
  <c r="E34" i="22" s="1"/>
  <c r="F82" i="4"/>
  <c r="E33" i="22" s="1"/>
  <c r="F70" i="4"/>
  <c r="E74" i="22"/>
  <c r="F99" i="18"/>
  <c r="F65" i="17"/>
  <c r="F97" i="18"/>
  <c r="E47" i="22" s="1"/>
  <c r="F67" i="19"/>
  <c r="F93" i="10"/>
  <c r="E39" i="22" s="1"/>
  <c r="G32" i="22"/>
  <c r="G59" i="22" s="1"/>
  <c r="M97" i="18"/>
  <c r="L47" i="22" s="1"/>
  <c r="G77" i="17"/>
  <c r="F46" i="22" s="1"/>
  <c r="P96" i="15"/>
  <c r="O44" i="22" s="1"/>
  <c r="J68" i="22"/>
  <c r="K97" i="12"/>
  <c r="K9" i="12" s="1"/>
  <c r="K22" i="12" s="1"/>
  <c r="J13" i="20" s="1"/>
  <c r="K93" i="10"/>
  <c r="J39" i="22" s="1"/>
  <c r="L90" i="6"/>
  <c r="S91" i="6"/>
  <c r="H73" i="4"/>
  <c r="P70" i="4"/>
  <c r="O7" i="22" s="1"/>
  <c r="G72" i="4"/>
  <c r="P70" i="19"/>
  <c r="L68" i="4"/>
  <c r="N68" i="4" s="1"/>
  <c r="H121" i="5"/>
  <c r="G34" i="22" s="1"/>
  <c r="M82" i="4"/>
  <c r="L33" i="22" s="1"/>
  <c r="Q16" i="18"/>
  <c r="W19" i="18" s="1"/>
  <c r="H93" i="6"/>
  <c r="H107" i="6" s="1"/>
  <c r="H9" i="6" s="1"/>
  <c r="H37" i="6" s="1"/>
  <c r="G7" i="20" s="1"/>
  <c r="L91" i="6"/>
  <c r="L96" i="6" s="1"/>
  <c r="M72" i="4"/>
  <c r="G84" i="10"/>
  <c r="P82" i="4"/>
  <c r="O33" i="22" s="1"/>
  <c r="J70" i="4"/>
  <c r="J84" i="4" s="1"/>
  <c r="J9" i="4" s="1"/>
  <c r="J14" i="4" s="1"/>
  <c r="I5" i="20" s="1"/>
  <c r="G95" i="12"/>
  <c r="F41" i="22" s="1"/>
  <c r="F68" i="22" s="1"/>
  <c r="P79" i="19"/>
  <c r="O48" i="22" s="1"/>
  <c r="J72" i="4"/>
  <c r="P87" i="15"/>
  <c r="M109" i="5"/>
  <c r="L8" i="22" s="1"/>
  <c r="L77" i="8"/>
  <c r="L9" i="8" s="1"/>
  <c r="G93" i="6"/>
  <c r="F9" i="22" s="1"/>
  <c r="F62" i="22" s="1"/>
  <c r="G70" i="4"/>
  <c r="F7" i="22" s="1"/>
  <c r="M95" i="12"/>
  <c r="L41" i="22" s="1"/>
  <c r="L68" i="22" s="1"/>
  <c r="P72" i="4"/>
  <c r="V65" i="3"/>
  <c r="P95" i="12"/>
  <c r="P85" i="12"/>
  <c r="K68" i="3"/>
  <c r="H70" i="4"/>
  <c r="G7" i="22" s="1"/>
  <c r="J95" i="12"/>
  <c r="J85" i="12"/>
  <c r="G73" i="4"/>
  <c r="L66" i="3"/>
  <c r="H95" i="12"/>
  <c r="G41" i="22" s="1"/>
  <c r="G68" i="22" s="1"/>
  <c r="P73" i="4"/>
  <c r="S10" i="13"/>
  <c r="K80" i="3"/>
  <c r="K9" i="3" s="1"/>
  <c r="K15" i="3" s="1"/>
  <c r="J4" i="20" s="1"/>
  <c r="Q60" i="18"/>
  <c r="Q66" i="18" s="1"/>
  <c r="Q8" i="18" s="1"/>
  <c r="L90" i="5"/>
  <c r="L8" i="5" s="1"/>
  <c r="Q161" i="6"/>
  <c r="Q167" i="6" s="1"/>
  <c r="Q14" i="6" s="1"/>
  <c r="K35" i="21"/>
  <c r="N7" i="19"/>
  <c r="S11" i="15"/>
  <c r="S10" i="15"/>
  <c r="T10" i="13"/>
  <c r="S14" i="12"/>
  <c r="S11" i="12"/>
  <c r="S10" i="11"/>
  <c r="N44" i="8"/>
  <c r="N8" i="8" s="1"/>
  <c r="S17" i="7"/>
  <c r="S14" i="7"/>
  <c r="S10" i="7"/>
  <c r="S10" i="6"/>
  <c r="S29" i="5"/>
  <c r="J93" i="10"/>
  <c r="I39" i="22" s="1"/>
  <c r="J69" i="3"/>
  <c r="O109" i="5"/>
  <c r="N8" i="22" s="1"/>
  <c r="O78" i="3"/>
  <c r="N32" i="22" s="1"/>
  <c r="N59" i="22" s="1"/>
  <c r="H109" i="5"/>
  <c r="G8" i="22" s="1"/>
  <c r="J78" i="3"/>
  <c r="N227" i="10"/>
  <c r="N20" i="10" s="1"/>
  <c r="G113" i="5"/>
  <c r="M112" i="5"/>
  <c r="M78" i="3"/>
  <c r="M113" i="5"/>
  <c r="H87" i="15"/>
  <c r="G121" i="5"/>
  <c r="F34" i="22" s="1"/>
  <c r="M93" i="10"/>
  <c r="L39" i="22" s="1"/>
  <c r="M70" i="19"/>
  <c r="Q493" i="5"/>
  <c r="Q499" i="5" s="1"/>
  <c r="Q40" i="5" s="1"/>
  <c r="M89" i="18"/>
  <c r="G112" i="5"/>
  <c r="Q413" i="6"/>
  <c r="Q419" i="6" s="1"/>
  <c r="Q35" i="6" s="1"/>
  <c r="N246" i="5"/>
  <c r="N19" i="5" s="1"/>
  <c r="G96" i="7"/>
  <c r="G9" i="7" s="1"/>
  <c r="G20" i="7" s="1"/>
  <c r="F8" i="20" s="1"/>
  <c r="L83" i="12"/>
  <c r="H97" i="18"/>
  <c r="G47" i="22" s="1"/>
  <c r="M121" i="5"/>
  <c r="L34" i="22" s="1"/>
  <c r="H113" i="5"/>
  <c r="O89" i="18"/>
  <c r="O121" i="5"/>
  <c r="N34" i="22" s="1"/>
  <c r="J109" i="5"/>
  <c r="I8" i="22" s="1"/>
  <c r="M87" i="15"/>
  <c r="P113" i="5"/>
  <c r="P121" i="5"/>
  <c r="O34" i="22" s="1"/>
  <c r="K112" i="5"/>
  <c r="M66" i="14"/>
  <c r="I15" i="11"/>
  <c r="H12" i="20" s="1"/>
  <c r="J112" i="5"/>
  <c r="G109" i="5"/>
  <c r="F8" i="22" s="1"/>
  <c r="H112" i="5"/>
  <c r="J113" i="5"/>
  <c r="H68" i="17"/>
  <c r="O112" i="5"/>
  <c r="Q48" i="19"/>
  <c r="Q8" i="19" s="1"/>
  <c r="O113" i="5"/>
  <c r="J121" i="5"/>
  <c r="I34" i="22" s="1"/>
  <c r="P109" i="5"/>
  <c r="O8" i="22" s="1"/>
  <c r="P112" i="5"/>
  <c r="I52" i="5"/>
  <c r="H6" i="20" s="1"/>
  <c r="I12" i="19"/>
  <c r="H20" i="20" s="1"/>
  <c r="H94" i="7"/>
  <c r="H96" i="7" s="1"/>
  <c r="H9" i="7" s="1"/>
  <c r="H20" i="7" s="1"/>
  <c r="G8" i="20" s="1"/>
  <c r="L92" i="7"/>
  <c r="N92" i="7" s="1"/>
  <c r="Q92" i="7" s="1"/>
  <c r="O94" i="7"/>
  <c r="O96" i="7" s="1"/>
  <c r="O9" i="7" s="1"/>
  <c r="O20" i="7" s="1"/>
  <c r="N8" i="20" s="1"/>
  <c r="M94" i="7"/>
  <c r="M96" i="7" s="1"/>
  <c r="M9" i="7" s="1"/>
  <c r="M20" i="7" s="1"/>
  <c r="L8" i="20" s="1"/>
  <c r="N219" i="18"/>
  <c r="N19" i="18" s="1"/>
  <c r="L53" i="11"/>
  <c r="L8" i="11" s="1"/>
  <c r="T46" i="19"/>
  <c r="U40" i="19" s="1"/>
  <c r="V40" i="19" s="1"/>
  <c r="T51" i="11"/>
  <c r="U42" i="11" s="1"/>
  <c r="V42" i="11" s="1"/>
  <c r="Q106" i="9"/>
  <c r="Q112" i="9" s="1"/>
  <c r="Q11" i="9" s="1"/>
  <c r="Q53" i="11"/>
  <c r="Q8" i="11" s="1"/>
  <c r="L44" i="8"/>
  <c r="L8" i="8" s="1"/>
  <c r="N180" i="5"/>
  <c r="L186" i="5"/>
  <c r="L14" i="5" s="1"/>
  <c r="N53" i="11"/>
  <c r="N8" i="11" s="1"/>
  <c r="N231" i="18"/>
  <c r="N20" i="18" s="1"/>
  <c r="N48" i="19"/>
  <c r="N8" i="19" s="1"/>
  <c r="L48" i="19"/>
  <c r="L8" i="19" s="1"/>
  <c r="M20" i="21"/>
  <c r="Q407" i="6"/>
  <c r="Q34" i="6" s="1"/>
  <c r="Q117" i="18"/>
  <c r="Q123" i="18" s="1"/>
  <c r="Q11" i="18" s="1"/>
  <c r="U10" i="18" s="1"/>
  <c r="I22" i="12"/>
  <c r="H13" i="20" s="1"/>
  <c r="L53" i="13"/>
  <c r="N53" i="13" s="1"/>
  <c r="Q104" i="15"/>
  <c r="Q110" i="15" s="1"/>
  <c r="Q10" i="15" s="1"/>
  <c r="M105" i="13"/>
  <c r="Q273" i="18"/>
  <c r="Q279" i="18" s="1"/>
  <c r="Q24" i="18" s="1"/>
  <c r="N279" i="18"/>
  <c r="N24" i="18" s="1"/>
  <c r="I25" i="15"/>
  <c r="H16" i="20" s="1"/>
  <c r="L160" i="5"/>
  <c r="L12" i="5" s="1"/>
  <c r="L82" i="7"/>
  <c r="K10" i="22" s="1"/>
  <c r="K63" i="22" s="1"/>
  <c r="N180" i="7"/>
  <c r="N16" i="7" s="1"/>
  <c r="Q174" i="7"/>
  <c r="Q180" i="7" s="1"/>
  <c r="Q16" i="7" s="1"/>
  <c r="T14" i="7" s="1"/>
  <c r="Q187" i="7"/>
  <c r="Q192" i="7" s="1"/>
  <c r="Q17" i="7" s="1"/>
  <c r="N192" i="7"/>
  <c r="N17" i="7" s="1"/>
  <c r="L37" i="15"/>
  <c r="L7" i="15" s="1"/>
  <c r="K8" i="21"/>
  <c r="K14" i="21" s="1"/>
  <c r="L16" i="21" s="1"/>
  <c r="Q31" i="15"/>
  <c r="Q37" i="15" s="1"/>
  <c r="S103" i="6"/>
  <c r="N336" i="5"/>
  <c r="L342" i="5"/>
  <c r="L27" i="5" s="1"/>
  <c r="Q11" i="3"/>
  <c r="H8" i="3"/>
  <c r="H65" i="14"/>
  <c r="H63" i="14"/>
  <c r="L82" i="15"/>
  <c r="G87" i="15"/>
  <c r="G84" i="15"/>
  <c r="L75" i="13"/>
  <c r="G80" i="13"/>
  <c r="G78" i="13"/>
  <c r="N80" i="7"/>
  <c r="P63" i="14"/>
  <c r="P65" i="14"/>
  <c r="J77" i="17"/>
  <c r="I46" i="22" s="1"/>
  <c r="L90" i="13"/>
  <c r="K42" i="22" s="1"/>
  <c r="K84" i="15"/>
  <c r="L67" i="16"/>
  <c r="G72" i="16"/>
  <c r="G70" i="16"/>
  <c r="G93" i="10"/>
  <c r="F39" i="22" s="1"/>
  <c r="N82" i="18"/>
  <c r="L85" i="18"/>
  <c r="N207" i="18"/>
  <c r="N18" i="18" s="1"/>
  <c r="H80" i="13"/>
  <c r="H78" i="13"/>
  <c r="N91" i="7"/>
  <c r="J63" i="14"/>
  <c r="J65" i="14"/>
  <c r="J84" i="15"/>
  <c r="J70" i="19"/>
  <c r="H72" i="16"/>
  <c r="H70" i="16"/>
  <c r="J69" i="19"/>
  <c r="J67" i="19"/>
  <c r="P67" i="19"/>
  <c r="P69" i="19"/>
  <c r="N105" i="6"/>
  <c r="M35" i="22" s="1"/>
  <c r="J80" i="13"/>
  <c r="J78" i="13"/>
  <c r="N9" i="22"/>
  <c r="N62" i="22" s="1"/>
  <c r="O107" i="6"/>
  <c r="O9" i="6" s="1"/>
  <c r="O37" i="6" s="1"/>
  <c r="N7" i="20" s="1"/>
  <c r="L61" i="14"/>
  <c r="G66" i="14"/>
  <c r="M65" i="17"/>
  <c r="M67" i="17"/>
  <c r="G70" i="19"/>
  <c r="G97" i="18"/>
  <c r="F47" i="22" s="1"/>
  <c r="F74" i="22" s="1"/>
  <c r="L10" i="22"/>
  <c r="L63" i="22" s="1"/>
  <c r="L68" i="16"/>
  <c r="G73" i="16"/>
  <c r="H93" i="10"/>
  <c r="G39" i="22" s="1"/>
  <c r="M84" i="15"/>
  <c r="M86" i="15"/>
  <c r="M69" i="19"/>
  <c r="M67" i="19"/>
  <c r="L7" i="10"/>
  <c r="Q105" i="6"/>
  <c r="P35" i="22" s="1"/>
  <c r="P80" i="13"/>
  <c r="P78" i="13"/>
  <c r="H67" i="17"/>
  <c r="H65" i="17"/>
  <c r="L81" i="15"/>
  <c r="H86" i="15"/>
  <c r="H84" i="15"/>
  <c r="P72" i="16"/>
  <c r="P70" i="16"/>
  <c r="G13" i="22"/>
  <c r="I13" i="22"/>
  <c r="O13" i="22"/>
  <c r="J66" i="14"/>
  <c r="H70" i="19"/>
  <c r="J97" i="18"/>
  <c r="I47" i="22" s="1"/>
  <c r="N79" i="10"/>
  <c r="K63" i="14"/>
  <c r="K65" i="14"/>
  <c r="O10" i="22"/>
  <c r="O63" i="22" s="1"/>
  <c r="P96" i="7"/>
  <c r="P9" i="7" s="1"/>
  <c r="P20" i="7" s="1"/>
  <c r="O8" i="20" s="1"/>
  <c r="M80" i="13"/>
  <c r="M78" i="13"/>
  <c r="J65" i="17"/>
  <c r="J67" i="17"/>
  <c r="K78" i="13"/>
  <c r="K80" i="13"/>
  <c r="P83" i="10"/>
  <c r="H75" i="14"/>
  <c r="G43" i="22" s="1"/>
  <c r="G67" i="17"/>
  <c r="L62" i="17"/>
  <c r="G65" i="17"/>
  <c r="Q59" i="17"/>
  <c r="L9" i="22"/>
  <c r="L62" i="22" s="1"/>
  <c r="M107" i="6"/>
  <c r="M9" i="6" s="1"/>
  <c r="M37" i="6" s="1"/>
  <c r="L7" i="20" s="1"/>
  <c r="K69" i="19"/>
  <c r="K67" i="19"/>
  <c r="K88" i="18"/>
  <c r="Q103" i="12"/>
  <c r="Q109" i="12" s="1"/>
  <c r="Q10" i="12" s="1"/>
  <c r="N109" i="12"/>
  <c r="N10" i="12" s="1"/>
  <c r="L76" i="13"/>
  <c r="G81" i="13"/>
  <c r="F13" i="22"/>
  <c r="K75" i="14"/>
  <c r="J43" i="22" s="1"/>
  <c r="K65" i="17"/>
  <c r="K67" i="17"/>
  <c r="L13" i="22"/>
  <c r="W31" i="15"/>
  <c r="H79" i="19"/>
  <c r="G48" i="22" s="1"/>
  <c r="O99" i="18"/>
  <c r="O9" i="18" s="1"/>
  <c r="Q81" i="12"/>
  <c r="S80" i="12" s="1"/>
  <c r="J74" i="22"/>
  <c r="K99" i="18"/>
  <c r="K9" i="18" s="1"/>
  <c r="Q236" i="15"/>
  <c r="Q242" i="15" s="1"/>
  <c r="Q21" i="15" s="1"/>
  <c r="N242" i="15"/>
  <c r="N21" i="15" s="1"/>
  <c r="G83" i="10"/>
  <c r="L63" i="17"/>
  <c r="G68" i="17"/>
  <c r="M79" i="19"/>
  <c r="L48" i="22" s="1"/>
  <c r="O88" i="18"/>
  <c r="J7" i="22"/>
  <c r="M88" i="18"/>
  <c r="L82" i="16"/>
  <c r="K45" i="22" s="1"/>
  <c r="N79" i="7"/>
  <c r="Q79" i="7" s="1"/>
  <c r="N78" i="10"/>
  <c r="Q78" i="10" s="1"/>
  <c r="S90" i="10" s="1"/>
  <c r="L81" i="10"/>
  <c r="M82" i="10" s="1"/>
  <c r="G65" i="14"/>
  <c r="L60" i="14"/>
  <c r="G63" i="14"/>
  <c r="G86" i="15"/>
  <c r="G96" i="15"/>
  <c r="F44" i="22" s="1"/>
  <c r="G79" i="19"/>
  <c r="F48" i="22" s="1"/>
  <c r="I10" i="22"/>
  <c r="I63" i="22" s="1"/>
  <c r="J96" i="7"/>
  <c r="J9" i="7" s="1"/>
  <c r="J20" i="7" s="1"/>
  <c r="I8" i="20" s="1"/>
  <c r="L105" i="6"/>
  <c r="K35" i="22" s="1"/>
  <c r="J70" i="16"/>
  <c r="J72" i="16"/>
  <c r="J13" i="22"/>
  <c r="M72" i="16"/>
  <c r="M70" i="16"/>
  <c r="H69" i="19"/>
  <c r="H67" i="19"/>
  <c r="I9" i="22"/>
  <c r="I62" i="22" s="1"/>
  <c r="J107" i="6"/>
  <c r="J9" i="6" s="1"/>
  <c r="J37" i="6" s="1"/>
  <c r="I7" i="20" s="1"/>
  <c r="J8" i="22"/>
  <c r="J61" i="22" s="1"/>
  <c r="K123" i="5"/>
  <c r="K9" i="5" s="1"/>
  <c r="K52" i="5" s="1"/>
  <c r="J6" i="20" s="1"/>
  <c r="G89" i="18"/>
  <c r="M63" i="14"/>
  <c r="G75" i="14"/>
  <c r="F43" i="22" s="1"/>
  <c r="M68" i="17"/>
  <c r="H96" i="15"/>
  <c r="G44" i="22" s="1"/>
  <c r="M77" i="17"/>
  <c r="L46" i="22" s="1"/>
  <c r="J79" i="19"/>
  <c r="I48" i="22" s="1"/>
  <c r="J10" i="22"/>
  <c r="J63" i="22" s="1"/>
  <c r="K96" i="7"/>
  <c r="K9" i="7" s="1"/>
  <c r="K20" i="7" s="1"/>
  <c r="J8" i="20" s="1"/>
  <c r="P86" i="15"/>
  <c r="P84" i="15"/>
  <c r="G69" i="19"/>
  <c r="G67" i="19"/>
  <c r="K70" i="16"/>
  <c r="K72" i="16"/>
  <c r="Q64" i="3"/>
  <c r="J59" i="22"/>
  <c r="L59" i="15"/>
  <c r="N59" i="15" s="1"/>
  <c r="N179" i="10"/>
  <c r="N16" i="10" s="1"/>
  <c r="L64" i="12"/>
  <c r="L8" i="12" s="1"/>
  <c r="N193" i="12"/>
  <c r="Q187" i="12"/>
  <c r="Q193" i="12" s="1"/>
  <c r="N198" i="5"/>
  <c r="N15" i="5" s="1"/>
  <c r="Q192" i="5"/>
  <c r="Q198" i="5" s="1"/>
  <c r="Q15" i="5" s="1"/>
  <c r="Q154" i="5"/>
  <c r="Q160" i="5" s="1"/>
  <c r="Q12" i="5" s="1"/>
  <c r="N160" i="5"/>
  <c r="N12" i="5" s="1"/>
  <c r="H37" i="21"/>
  <c r="Q506" i="5"/>
  <c r="Q511" i="5" s="1"/>
  <c r="Q41" i="5" s="1"/>
  <c r="N511" i="5"/>
  <c r="N41" i="5" s="1"/>
  <c r="Q362" i="5"/>
  <c r="Q367" i="5" s="1"/>
  <c r="Q29" i="5" s="1"/>
  <c r="N367" i="5"/>
  <c r="N29" i="5" s="1"/>
  <c r="N355" i="5"/>
  <c r="N28" i="5" s="1"/>
  <c r="Q349" i="5"/>
  <c r="Q355" i="5" s="1"/>
  <c r="Q28" i="5" s="1"/>
  <c r="N415" i="5"/>
  <c r="N33" i="5" s="1"/>
  <c r="Q409" i="5"/>
  <c r="Q415" i="5" s="1"/>
  <c r="Q33" i="5" s="1"/>
  <c r="K20" i="21"/>
  <c r="N108" i="7"/>
  <c r="N10" i="7" s="1"/>
  <c r="Q102" i="7"/>
  <c r="Q108" i="7" s="1"/>
  <c r="Q10" i="7" s="1"/>
  <c r="P9" i="21"/>
  <c r="K34" i="21"/>
  <c r="N165" i="18"/>
  <c r="L171" i="18"/>
  <c r="L15" i="18" s="1"/>
  <c r="S12" i="18" s="1"/>
  <c r="N236" i="13"/>
  <c r="N21" i="13" s="1"/>
  <c r="Q230" i="13"/>
  <c r="Q236" i="13" s="1"/>
  <c r="Q21" i="13" s="1"/>
  <c r="Q135" i="13"/>
  <c r="Q140" i="13" s="1"/>
  <c r="Q13" i="13" s="1"/>
  <c r="N140" i="13"/>
  <c r="N13" i="13" s="1"/>
  <c r="N203" i="10"/>
  <c r="N18" i="10" s="1"/>
  <c r="Q197" i="10"/>
  <c r="Q203" i="10" s="1"/>
  <c r="Q18" i="10" s="1"/>
  <c r="I16" i="9"/>
  <c r="H10" i="20" s="1"/>
  <c r="N26" i="16"/>
  <c r="Q20" i="16"/>
  <c r="Q26" i="16" s="1"/>
  <c r="L7" i="16"/>
  <c r="K32" i="21"/>
  <c r="N40" i="17"/>
  <c r="L8" i="17"/>
  <c r="Q174" i="6"/>
  <c r="Q179" i="6" s="1"/>
  <c r="Q15" i="6" s="1"/>
  <c r="N179" i="6"/>
  <c r="N15" i="6" s="1"/>
  <c r="L88" i="9"/>
  <c r="L9" i="9" s="1"/>
  <c r="N56" i="10"/>
  <c r="L62" i="10"/>
  <c r="L8" i="10" s="1"/>
  <c r="Q60" i="3"/>
  <c r="Q149" i="10"/>
  <c r="Q155" i="10" s="1"/>
  <c r="Q14" i="10" s="1"/>
  <c r="N155" i="10"/>
  <c r="N14" i="10" s="1"/>
  <c r="N86" i="9"/>
  <c r="Q80" i="9"/>
  <c r="Q86" i="9" s="1"/>
  <c r="Q76" i="7"/>
  <c r="Q115" i="4"/>
  <c r="Q120" i="4" s="1"/>
  <c r="Q12" i="4" s="1"/>
  <c r="N120" i="4"/>
  <c r="N12" i="4" s="1"/>
  <c r="N619" i="5"/>
  <c r="N50" i="5" s="1"/>
  <c r="Q613" i="5"/>
  <c r="Q619" i="5" s="1"/>
  <c r="Q50" i="5" s="1"/>
  <c r="X9" i="16"/>
  <c r="Q65" i="4"/>
  <c r="Q529" i="5"/>
  <c r="Q535" i="5" s="1"/>
  <c r="Q43" i="5" s="1"/>
  <c r="N535" i="5"/>
  <c r="N43" i="5" s="1"/>
  <c r="Q84" i="5"/>
  <c r="Q90" i="5" s="1"/>
  <c r="Q8" i="5" s="1"/>
  <c r="N90" i="5"/>
  <c r="N8" i="5" s="1"/>
  <c r="Q127" i="12"/>
  <c r="Q133" i="12" s="1"/>
  <c r="Q12" i="12" s="1"/>
  <c r="T11" i="12" s="1"/>
  <c r="N133" i="12"/>
  <c r="N12" i="12" s="1"/>
  <c r="Q69" i="8"/>
  <c r="Q75" i="8" s="1"/>
  <c r="Q77" i="8" s="1"/>
  <c r="Q9" i="8" s="1"/>
  <c r="N75" i="8"/>
  <c r="N77" i="8" s="1"/>
  <c r="N9" i="8" s="1"/>
  <c r="N45" i="4"/>
  <c r="L51" i="4"/>
  <c r="L8" i="4" s="1"/>
  <c r="S11" i="22"/>
  <c r="U11" i="22" s="1"/>
  <c r="P64" i="22"/>
  <c r="Q57" i="14"/>
  <c r="N146" i="15"/>
  <c r="N13" i="15" s="1"/>
  <c r="Q140" i="15"/>
  <c r="Q146" i="15" s="1"/>
  <c r="Q13" i="15" s="1"/>
  <c r="Q123" i="3"/>
  <c r="N128" i="3"/>
  <c r="N13" i="3" s="1"/>
  <c r="N234" i="5"/>
  <c r="N18" i="5" s="1"/>
  <c r="Q228" i="5"/>
  <c r="Q234" i="5" s="1"/>
  <c r="Q18" i="5" s="1"/>
  <c r="Q205" i="12"/>
  <c r="Q18" i="12" s="1"/>
  <c r="N205" i="12"/>
  <c r="N18" i="12" s="1"/>
  <c r="Q86" i="3"/>
  <c r="Q92" i="3" s="1"/>
  <c r="Q10" i="3" s="1"/>
  <c r="N92" i="3"/>
  <c r="N10" i="3" s="1"/>
  <c r="M31" i="21"/>
  <c r="N7" i="15"/>
  <c r="N135" i="18"/>
  <c r="N12" i="18" s="1"/>
  <c r="Q129" i="18"/>
  <c r="Q135" i="18" s="1"/>
  <c r="Q12" i="18" s="1"/>
  <c r="N7" i="8"/>
  <c r="M24" i="21"/>
  <c r="N299" i="6"/>
  <c r="N25" i="6" s="1"/>
  <c r="Q293" i="6"/>
  <c r="Q299" i="6" s="1"/>
  <c r="Q25" i="6" s="1"/>
  <c r="L86" i="11"/>
  <c r="L9" i="11" s="1"/>
  <c r="K14" i="22"/>
  <c r="K67" i="22" s="1"/>
  <c r="P20" i="21"/>
  <c r="Q7" i="4"/>
  <c r="Q91" i="15"/>
  <c r="X9" i="15" s="1"/>
  <c r="N155" i="6"/>
  <c r="N13" i="6" s="1"/>
  <c r="Q149" i="6"/>
  <c r="Q155" i="6" s="1"/>
  <c r="Q13" i="6" s="1"/>
  <c r="X7" i="9"/>
  <c r="N45" i="16"/>
  <c r="L51" i="16"/>
  <c r="L8" i="16" s="1"/>
  <c r="Q69" i="14"/>
  <c r="N217" i="12"/>
  <c r="N19" i="12" s="1"/>
  <c r="Q211" i="12"/>
  <c r="Q217" i="12" s="1"/>
  <c r="Q19" i="12" s="1"/>
  <c r="Q288" i="5"/>
  <c r="Q294" i="5" s="1"/>
  <c r="Q23" i="5" s="1"/>
  <c r="N294" i="5"/>
  <c r="N23" i="5" s="1"/>
  <c r="Q553" i="5"/>
  <c r="Q559" i="5" s="1"/>
  <c r="Q45" i="5" s="1"/>
  <c r="N559" i="5"/>
  <c r="N45" i="5" s="1"/>
  <c r="Q90" i="16"/>
  <c r="Q96" i="16" s="1"/>
  <c r="Q10" i="16" s="1"/>
  <c r="N96" i="16"/>
  <c r="N10" i="16" s="1"/>
  <c r="L7" i="12"/>
  <c r="K28" i="21"/>
  <c r="Q209" i="10"/>
  <c r="Q215" i="10" s="1"/>
  <c r="Q19" i="10" s="1"/>
  <c r="N215" i="10"/>
  <c r="N19" i="10" s="1"/>
  <c r="M25" i="21"/>
  <c r="N7" i="9"/>
  <c r="Q457" i="5"/>
  <c r="Q463" i="5" s="1"/>
  <c r="Q37" i="5" s="1"/>
  <c r="N463" i="5"/>
  <c r="N37" i="5" s="1"/>
  <c r="N248" i="13"/>
  <c r="N22" i="13" s="1"/>
  <c r="Q242" i="13"/>
  <c r="Q248" i="13" s="1"/>
  <c r="Q22" i="13" s="1"/>
  <c r="L29" i="6"/>
  <c r="S13" i="6" s="1"/>
  <c r="M348" i="6"/>
  <c r="Q209" i="6"/>
  <c r="Q215" i="6" s="1"/>
  <c r="Q18" i="6" s="1"/>
  <c r="N215" i="6"/>
  <c r="N18" i="6" s="1"/>
  <c r="G74" i="6"/>
  <c r="G8" i="6" s="1"/>
  <c r="L68" i="6"/>
  <c r="Q163" i="12"/>
  <c r="Q169" i="12" s="1"/>
  <c r="Q15" i="12" s="1"/>
  <c r="N169" i="12"/>
  <c r="N15" i="12" s="1"/>
  <c r="Q77" i="12"/>
  <c r="N83" i="12"/>
  <c r="P12" i="22"/>
  <c r="N7" i="10"/>
  <c r="M26" i="21"/>
  <c r="H56" i="9"/>
  <c r="H8" i="9" s="1"/>
  <c r="H16" i="9" s="1"/>
  <c r="G10" i="20" s="1"/>
  <c r="L51" i="9"/>
  <c r="N51" i="9" s="1"/>
  <c r="Q51" i="9" s="1"/>
  <c r="X9" i="9" s="1"/>
  <c r="Q204" i="5"/>
  <c r="Q210" i="5" s="1"/>
  <c r="Q16" i="5" s="1"/>
  <c r="N210" i="5"/>
  <c r="N16" i="5" s="1"/>
  <c r="Q122" i="13"/>
  <c r="Q128" i="13" s="1"/>
  <c r="Q12" i="13" s="1"/>
  <c r="N128" i="13"/>
  <c r="N12" i="13" s="1"/>
  <c r="Q269" i="6"/>
  <c r="Q275" i="6" s="1"/>
  <c r="Q23" i="6" s="1"/>
  <c r="N275" i="6"/>
  <c r="N23" i="6" s="1"/>
  <c r="Q365" i="6"/>
  <c r="Q371" i="6" s="1"/>
  <c r="Q31" i="6" s="1"/>
  <c r="N371" i="6"/>
  <c r="N31" i="6" s="1"/>
  <c r="Q433" i="5"/>
  <c r="Q439" i="5" s="1"/>
  <c r="Q35" i="5" s="1"/>
  <c r="N439" i="5"/>
  <c r="N35" i="5" s="1"/>
  <c r="N335" i="6"/>
  <c r="N28" i="6" s="1"/>
  <c r="Q329" i="6"/>
  <c r="Q335" i="6" s="1"/>
  <c r="Q28" i="6" s="1"/>
  <c r="Q18" i="14"/>
  <c r="N24" i="14"/>
  <c r="X7" i="4"/>
  <c r="Q565" i="5"/>
  <c r="Q571" i="5" s="1"/>
  <c r="Q46" i="5" s="1"/>
  <c r="N571" i="5"/>
  <c r="N46" i="5" s="1"/>
  <c r="X7" i="10"/>
  <c r="N50" i="9"/>
  <c r="Q186" i="6"/>
  <c r="Q191" i="6" s="1"/>
  <c r="Q16" i="6" s="1"/>
  <c r="N191" i="6"/>
  <c r="N16" i="6" s="1"/>
  <c r="Q102" i="16"/>
  <c r="Q108" i="16" s="1"/>
  <c r="Q11" i="16" s="1"/>
  <c r="N108" i="16"/>
  <c r="N11" i="16" s="1"/>
  <c r="N49" i="6"/>
  <c r="Q43" i="6"/>
  <c r="N547" i="5"/>
  <c r="N44" i="5" s="1"/>
  <c r="Q541" i="5"/>
  <c r="Q547" i="5" s="1"/>
  <c r="Q44" i="5" s="1"/>
  <c r="N7" i="17"/>
  <c r="M33" i="21"/>
  <c r="Q130" i="11"/>
  <c r="Q136" i="11" s="1"/>
  <c r="Q13" i="11" s="1"/>
  <c r="N136" i="11"/>
  <c r="N13" i="11" s="1"/>
  <c r="Q158" i="13"/>
  <c r="Q164" i="13" s="1"/>
  <c r="Q15" i="13" s="1"/>
  <c r="N164" i="13"/>
  <c r="N15" i="13" s="1"/>
  <c r="H67" i="22"/>
  <c r="H77" i="22" s="1"/>
  <c r="H24" i="22"/>
  <c r="N255" i="18"/>
  <c r="N22" i="18" s="1"/>
  <c r="Q249" i="18"/>
  <c r="Q255" i="18" s="1"/>
  <c r="Q22" i="18" s="1"/>
  <c r="Q58" i="12"/>
  <c r="N64" i="12"/>
  <c r="N8" i="12" s="1"/>
  <c r="Q28" i="12"/>
  <c r="N34" i="12"/>
  <c r="Q28" i="9"/>
  <c r="X15" i="9" s="1"/>
  <c r="N27" i="3"/>
  <c r="L63" i="7"/>
  <c r="L8" i="7" s="1"/>
  <c r="Q216" i="5"/>
  <c r="Q222" i="5" s="1"/>
  <c r="Q17" i="5" s="1"/>
  <c r="N222" i="5"/>
  <c r="N17" i="5" s="1"/>
  <c r="L7" i="5"/>
  <c r="N243" i="18"/>
  <c r="N21" i="18" s="1"/>
  <c r="Q237" i="18"/>
  <c r="Q243" i="18" s="1"/>
  <c r="Q21" i="18" s="1"/>
  <c r="Q373" i="5"/>
  <c r="Q379" i="5" s="1"/>
  <c r="Q30" i="5" s="1"/>
  <c r="N379" i="5"/>
  <c r="N30" i="5" s="1"/>
  <c r="L7" i="13"/>
  <c r="K29" i="21"/>
  <c r="N170" i="15"/>
  <c r="N15" i="15" s="1"/>
  <c r="Q164" i="15"/>
  <c r="Q170" i="15" s="1"/>
  <c r="Q15" i="15" s="1"/>
  <c r="K27" i="21"/>
  <c r="L7" i="11"/>
  <c r="Q38" i="18"/>
  <c r="K23" i="21"/>
  <c r="L7" i="7"/>
  <c r="Q115" i="5"/>
  <c r="N41" i="3"/>
  <c r="L47" i="3"/>
  <c r="L8" i="3" s="1"/>
  <c r="S8" i="3" s="1"/>
  <c r="Q88" i="6"/>
  <c r="Q194" i="13"/>
  <c r="Q200" i="13" s="1"/>
  <c r="Q18" i="13" s="1"/>
  <c r="N200" i="13"/>
  <c r="N18" i="13" s="1"/>
  <c r="F8" i="6"/>
  <c r="M12" i="22"/>
  <c r="Q91" i="18"/>
  <c r="N37" i="13"/>
  <c r="Q31" i="13"/>
  <c r="Q72" i="3"/>
  <c r="F37" i="21"/>
  <c r="K22" i="21"/>
  <c r="L7" i="6"/>
  <c r="N7" i="18"/>
  <c r="M34" i="21"/>
  <c r="Q26" i="7"/>
  <c r="N32" i="7"/>
  <c r="Q223" i="12"/>
  <c r="Q229" i="12" s="1"/>
  <c r="Q20" i="12" s="1"/>
  <c r="N229" i="12"/>
  <c r="N20" i="12" s="1"/>
  <c r="Q300" i="5"/>
  <c r="Q306" i="5" s="1"/>
  <c r="Q24" i="5" s="1"/>
  <c r="N306" i="5"/>
  <c r="N24" i="5" s="1"/>
  <c r="Q23" i="8"/>
  <c r="X8" i="8"/>
  <c r="Q108" i="4"/>
  <c r="Q11" i="4" s="1"/>
  <c r="Q261" i="18"/>
  <c r="Q267" i="18" s="1"/>
  <c r="Q23" i="18" s="1"/>
  <c r="N267" i="18"/>
  <c r="N23" i="18" s="1"/>
  <c r="N311" i="6"/>
  <c r="N26" i="6" s="1"/>
  <c r="Q305" i="6"/>
  <c r="Q311" i="6" s="1"/>
  <c r="Q26" i="6" s="1"/>
  <c r="N523" i="5"/>
  <c r="N42" i="5" s="1"/>
  <c r="Q517" i="5"/>
  <c r="Q523" i="5" s="1"/>
  <c r="Q42" i="5" s="1"/>
  <c r="Q341" i="6"/>
  <c r="Q347" i="6" s="1"/>
  <c r="Q29" i="6" s="1"/>
  <c r="N347" i="6"/>
  <c r="N29" i="6" s="1"/>
  <c r="N66" i="5"/>
  <c r="M21" i="21" s="1"/>
  <c r="Q60" i="5"/>
  <c r="Q83" i="14"/>
  <c r="Q89" i="14" s="1"/>
  <c r="Q10" i="14" s="1"/>
  <c r="N89" i="14"/>
  <c r="N10" i="14" s="1"/>
  <c r="Q206" i="13"/>
  <c r="Q212" i="13" s="1"/>
  <c r="N212" i="13"/>
  <c r="N19" i="13" s="1"/>
  <c r="N120" i="16"/>
  <c r="N12" i="16" s="1"/>
  <c r="Q114" i="16"/>
  <c r="Q120" i="16" s="1"/>
  <c r="Q12" i="16" s="1"/>
  <c r="X9" i="10"/>
  <c r="Q34" i="10"/>
  <c r="N204" i="7"/>
  <c r="N18" i="7" s="1"/>
  <c r="Q198" i="7"/>
  <c r="Q204" i="7" s="1"/>
  <c r="Q18" i="7" s="1"/>
  <c r="Q61" i="19"/>
  <c r="N100" i="9"/>
  <c r="N10" i="9" s="1"/>
  <c r="Q94" i="9"/>
  <c r="Q100" i="9" s="1"/>
  <c r="Q10" i="9" s="1"/>
  <c r="Q113" i="6"/>
  <c r="Q119" i="6" s="1"/>
  <c r="Q10" i="6" s="1"/>
  <c r="N119" i="6"/>
  <c r="N10" i="6" s="1"/>
  <c r="Q118" i="11"/>
  <c r="Q124" i="11" s="1"/>
  <c r="Q12" i="11" s="1"/>
  <c r="T10" i="11" s="1"/>
  <c r="N124" i="11"/>
  <c r="N12" i="11" s="1"/>
  <c r="N323" i="6"/>
  <c r="N27" i="6" s="1"/>
  <c r="Q317" i="6"/>
  <c r="Q323" i="6" s="1"/>
  <c r="Q27" i="6" s="1"/>
  <c r="Q85" i="17"/>
  <c r="Q91" i="17" s="1"/>
  <c r="N91" i="17"/>
  <c r="N10" i="17" s="1"/>
  <c r="L7" i="14"/>
  <c r="K30" i="21"/>
  <c r="N38" i="14"/>
  <c r="N230" i="15"/>
  <c r="N20" i="15" s="1"/>
  <c r="Q224" i="15"/>
  <c r="Q230" i="15" s="1"/>
  <c r="Q20" i="15" s="1"/>
  <c r="N132" i="7"/>
  <c r="N12" i="7" s="1"/>
  <c r="Q126" i="7"/>
  <c r="Q132" i="7" s="1"/>
  <c r="Q12" i="7" s="1"/>
  <c r="N27" i="11"/>
  <c r="Q24" i="17"/>
  <c r="Q89" i="12"/>
  <c r="Q577" i="5"/>
  <c r="Q583" i="5" s="1"/>
  <c r="Q47" i="5" s="1"/>
  <c r="N583" i="5"/>
  <c r="N47" i="5" s="1"/>
  <c r="N93" i="19"/>
  <c r="N10" i="19" s="1"/>
  <c r="Q87" i="19"/>
  <c r="Q93" i="19" s="1"/>
  <c r="Q10" i="19" s="1"/>
  <c r="Q104" i="5"/>
  <c r="N72" i="11"/>
  <c r="Q66" i="11"/>
  <c r="Q72" i="11" s="1"/>
  <c r="Q78" i="11"/>
  <c r="Q84" i="11" s="1"/>
  <c r="N84" i="11"/>
  <c r="K19" i="21"/>
  <c r="L7" i="3"/>
  <c r="S7" i="3" s="1"/>
  <c r="N131" i="6"/>
  <c r="N11" i="6" s="1"/>
  <c r="Q125" i="6"/>
  <c r="Q131" i="6" s="1"/>
  <c r="Q11" i="6" s="1"/>
  <c r="P95" i="10" l="1"/>
  <c r="P9" i="10" s="1"/>
  <c r="P22" i="10" s="1"/>
  <c r="O11" i="20" s="1"/>
  <c r="O66" i="22"/>
  <c r="Q469" i="5"/>
  <c r="Q475" i="5" s="1"/>
  <c r="Q38" i="5" s="1"/>
  <c r="U34" i="8"/>
  <c r="V34" i="8" s="1"/>
  <c r="U35" i="8"/>
  <c r="V35" i="8" s="1"/>
  <c r="U33" i="8"/>
  <c r="V33" i="8" s="1"/>
  <c r="U32" i="8"/>
  <c r="V32" i="8" s="1"/>
  <c r="U36" i="8"/>
  <c r="V36" i="8" s="1"/>
  <c r="U30" i="8"/>
  <c r="V30" i="8" s="1"/>
  <c r="U29" i="8"/>
  <c r="V29" i="8" s="1"/>
  <c r="U31" i="8"/>
  <c r="V31" i="8" s="1"/>
  <c r="L83" i="10"/>
  <c r="U62" i="18"/>
  <c r="V56" i="18" s="1"/>
  <c r="W56" i="18" s="1"/>
  <c r="J60" i="22"/>
  <c r="U39" i="19"/>
  <c r="V39" i="19" s="1"/>
  <c r="M86" i="18"/>
  <c r="K21" i="22"/>
  <c r="K15" i="22"/>
  <c r="M84" i="12"/>
  <c r="J50" i="22"/>
  <c r="K84" i="4"/>
  <c r="K9" i="4" s="1"/>
  <c r="K14" i="4" s="1"/>
  <c r="J5" i="20" s="1"/>
  <c r="G60" i="22"/>
  <c r="F60" i="22"/>
  <c r="K6" i="22"/>
  <c r="M67" i="3"/>
  <c r="N91" i="6"/>
  <c r="N96" i="6" s="1"/>
  <c r="F123" i="5"/>
  <c r="F9" i="5" s="1"/>
  <c r="X12" i="3"/>
  <c r="X14" i="3"/>
  <c r="F125" i="5"/>
  <c r="E16" i="22"/>
  <c r="E69" i="22" s="1"/>
  <c r="F98" i="15"/>
  <c r="F9" i="15" s="1"/>
  <c r="F84" i="16"/>
  <c r="F86" i="16" s="1"/>
  <c r="E50" i="22"/>
  <c r="F77" i="14"/>
  <c r="F79" i="14" s="1"/>
  <c r="F9" i="12"/>
  <c r="F99" i="12"/>
  <c r="Q19" i="13"/>
  <c r="T12" i="13" s="1"/>
  <c r="S212" i="13"/>
  <c r="L86" i="12"/>
  <c r="L93" i="6"/>
  <c r="L11" i="8"/>
  <c r="K9" i="20" s="1"/>
  <c r="F9" i="18"/>
  <c r="F101" i="18"/>
  <c r="F84" i="4"/>
  <c r="F9" i="4" s="1"/>
  <c r="F86" i="4"/>
  <c r="E7" i="22"/>
  <c r="E60" i="22" s="1"/>
  <c r="F107" i="6"/>
  <c r="E9" i="22"/>
  <c r="E62" i="22" s="1"/>
  <c r="E22" i="22"/>
  <c r="E75" i="22" s="1"/>
  <c r="F81" i="19"/>
  <c r="F83" i="19" s="1"/>
  <c r="F9" i="10"/>
  <c r="F97" i="10"/>
  <c r="E20" i="22"/>
  <c r="E73" i="22" s="1"/>
  <c r="F79" i="17"/>
  <c r="F94" i="13"/>
  <c r="F9" i="13"/>
  <c r="L70" i="4"/>
  <c r="Q95" i="12"/>
  <c r="P41" i="22" s="1"/>
  <c r="L95" i="6"/>
  <c r="N90" i="6"/>
  <c r="E61" i="22"/>
  <c r="M84" i="4"/>
  <c r="M9" i="4" s="1"/>
  <c r="M14" i="4" s="1"/>
  <c r="L5" i="20" s="1"/>
  <c r="H80" i="3"/>
  <c r="H9" i="3" s="1"/>
  <c r="H15" i="3" s="1"/>
  <c r="G4" i="20" s="1"/>
  <c r="M99" i="18"/>
  <c r="M9" i="18" s="1"/>
  <c r="M26" i="18" s="1"/>
  <c r="L19" i="20" s="1"/>
  <c r="G97" i="12"/>
  <c r="G9" i="12" s="1"/>
  <c r="G22" i="12" s="1"/>
  <c r="F13" i="20" s="1"/>
  <c r="J66" i="22"/>
  <c r="K95" i="10"/>
  <c r="K9" i="10" s="1"/>
  <c r="K22" i="10" s="1"/>
  <c r="J11" i="20" s="1"/>
  <c r="G80" i="3"/>
  <c r="G9" i="3" s="1"/>
  <c r="G15" i="3" s="1"/>
  <c r="F4" i="20" s="1"/>
  <c r="L74" i="22"/>
  <c r="M97" i="12"/>
  <c r="M9" i="12" s="1"/>
  <c r="M22" i="12" s="1"/>
  <c r="L13" i="20" s="1"/>
  <c r="N95" i="12"/>
  <c r="M41" i="22" s="1"/>
  <c r="N85" i="12"/>
  <c r="G9" i="22"/>
  <c r="G62" i="22" s="1"/>
  <c r="G107" i="6"/>
  <c r="G9" i="6" s="1"/>
  <c r="G37" i="6" s="1"/>
  <c r="F7" i="20" s="1"/>
  <c r="G61" i="22"/>
  <c r="L60" i="22"/>
  <c r="L72" i="4"/>
  <c r="AB76" i="3"/>
  <c r="H97" i="12"/>
  <c r="H9" i="12" s="1"/>
  <c r="H22" i="12" s="1"/>
  <c r="G13" i="20" s="1"/>
  <c r="N82" i="4"/>
  <c r="M33" i="22" s="1"/>
  <c r="G84" i="4"/>
  <c r="G9" i="4" s="1"/>
  <c r="G14" i="4" s="1"/>
  <c r="F5" i="20" s="1"/>
  <c r="N78" i="3"/>
  <c r="M32" i="22" s="1"/>
  <c r="P84" i="4"/>
  <c r="P9" i="4" s="1"/>
  <c r="P14" i="4" s="1"/>
  <c r="O5" i="20" s="1"/>
  <c r="L95" i="12"/>
  <c r="K41" i="22" s="1"/>
  <c r="I7" i="22"/>
  <c r="I60" i="22" s="1"/>
  <c r="U65" i="3"/>
  <c r="W65" i="3"/>
  <c r="L68" i="3"/>
  <c r="Q82" i="4"/>
  <c r="P33" i="22" s="1"/>
  <c r="L85" i="12"/>
  <c r="N86" i="12"/>
  <c r="L112" i="5"/>
  <c r="L69" i="3"/>
  <c r="H84" i="4"/>
  <c r="H9" i="4" s="1"/>
  <c r="H14" i="4" s="1"/>
  <c r="G5" i="20" s="1"/>
  <c r="L78" i="3"/>
  <c r="L80" i="3" s="1"/>
  <c r="L9" i="3" s="1"/>
  <c r="S9" i="3" s="1"/>
  <c r="L73" i="4"/>
  <c r="I41" i="22"/>
  <c r="I68" i="22" s="1"/>
  <c r="J97" i="12"/>
  <c r="J9" i="12" s="1"/>
  <c r="J22" i="12" s="1"/>
  <c r="I13" i="20" s="1"/>
  <c r="N69" i="3"/>
  <c r="L82" i="4"/>
  <c r="K33" i="22" s="1"/>
  <c r="O41" i="22"/>
  <c r="O68" i="22" s="1"/>
  <c r="P97" i="12"/>
  <c r="P9" i="12" s="1"/>
  <c r="P22" i="12" s="1"/>
  <c r="O13" i="20" s="1"/>
  <c r="U66" i="3"/>
  <c r="W66" i="3"/>
  <c r="N68" i="3"/>
  <c r="N66" i="3"/>
  <c r="M6" i="22" s="1"/>
  <c r="I61" i="22"/>
  <c r="L65" i="15"/>
  <c r="L8" i="15" s="1"/>
  <c r="S10" i="9"/>
  <c r="N50" i="22"/>
  <c r="U41" i="11"/>
  <c r="V41" i="11" s="1"/>
  <c r="U37" i="11"/>
  <c r="V37" i="11" s="1"/>
  <c r="U35" i="11"/>
  <c r="V35" i="11" s="1"/>
  <c r="G74" i="22"/>
  <c r="H99" i="18"/>
  <c r="H9" i="18" s="1"/>
  <c r="O26" i="18"/>
  <c r="N19" i="20" s="1"/>
  <c r="K26" i="18"/>
  <c r="J19" i="20" s="1"/>
  <c r="T11" i="15"/>
  <c r="T10" i="15"/>
  <c r="T14" i="12"/>
  <c r="T11" i="10"/>
  <c r="L66" i="22"/>
  <c r="M95" i="10"/>
  <c r="M9" i="10" s="1"/>
  <c r="M22" i="10" s="1"/>
  <c r="L11" i="20" s="1"/>
  <c r="T17" i="7"/>
  <c r="T10" i="7"/>
  <c r="T13" i="6"/>
  <c r="T10" i="6"/>
  <c r="T29" i="5"/>
  <c r="O123" i="5"/>
  <c r="O9" i="5" s="1"/>
  <c r="O52" i="5" s="1"/>
  <c r="N6" i="20" s="1"/>
  <c r="N61" i="22"/>
  <c r="N77" i="22" s="1"/>
  <c r="L121" i="5"/>
  <c r="K34" i="22" s="1"/>
  <c r="L113" i="5"/>
  <c r="O80" i="3"/>
  <c r="O9" i="3" s="1"/>
  <c r="O15" i="3" s="1"/>
  <c r="N4" i="20" s="1"/>
  <c r="F61" i="22"/>
  <c r="L61" i="22"/>
  <c r="L32" i="22"/>
  <c r="L59" i="22" s="1"/>
  <c r="M80" i="3"/>
  <c r="M9" i="3" s="1"/>
  <c r="M15" i="3" s="1"/>
  <c r="L4" i="20" s="1"/>
  <c r="I32" i="22"/>
  <c r="I59" i="22" s="1"/>
  <c r="J80" i="3"/>
  <c r="J9" i="3" s="1"/>
  <c r="J15" i="3" s="1"/>
  <c r="I4" i="20" s="1"/>
  <c r="J95" i="10"/>
  <c r="J9" i="10" s="1"/>
  <c r="J22" i="10" s="1"/>
  <c r="I11" i="20" s="1"/>
  <c r="I66" i="22"/>
  <c r="H123" i="5"/>
  <c r="H9" i="5" s="1"/>
  <c r="H52" i="5" s="1"/>
  <c r="G6" i="20" s="1"/>
  <c r="N121" i="5"/>
  <c r="M34" i="22" s="1"/>
  <c r="J123" i="5"/>
  <c r="J9" i="5" s="1"/>
  <c r="J52" i="5" s="1"/>
  <c r="I6" i="20" s="1"/>
  <c r="O61" i="22"/>
  <c r="G123" i="5"/>
  <c r="G9" i="5" s="1"/>
  <c r="G52" i="5" s="1"/>
  <c r="F6" i="20" s="1"/>
  <c r="P123" i="5"/>
  <c r="P9" i="5" s="1"/>
  <c r="P52" i="5" s="1"/>
  <c r="O6" i="20" s="1"/>
  <c r="M123" i="5"/>
  <c r="M9" i="5" s="1"/>
  <c r="M52" i="5" s="1"/>
  <c r="Q121" i="5"/>
  <c r="P34" i="22" s="1"/>
  <c r="L94" i="7"/>
  <c r="L96" i="7" s="1"/>
  <c r="N106" i="5"/>
  <c r="L109" i="5"/>
  <c r="U39" i="11"/>
  <c r="V39" i="11" s="1"/>
  <c r="U40" i="11"/>
  <c r="V40" i="11" s="1"/>
  <c r="U44" i="11"/>
  <c r="V44" i="11" s="1"/>
  <c r="U33" i="11"/>
  <c r="U38" i="11"/>
  <c r="V38" i="11" s="1"/>
  <c r="U36" i="11"/>
  <c r="V36" i="11" s="1"/>
  <c r="U34" i="11"/>
  <c r="V34" i="11" s="1"/>
  <c r="U43" i="11"/>
  <c r="V43" i="11" s="1"/>
  <c r="U32" i="19"/>
  <c r="V32" i="19" s="1"/>
  <c r="U30" i="19"/>
  <c r="U37" i="19"/>
  <c r="V37" i="19" s="1"/>
  <c r="U38" i="19"/>
  <c r="V38" i="19" s="1"/>
  <c r="U33" i="19"/>
  <c r="V33" i="19" s="1"/>
  <c r="U34" i="19"/>
  <c r="V34" i="19" s="1"/>
  <c r="U35" i="19"/>
  <c r="V35" i="19" s="1"/>
  <c r="U31" i="19"/>
  <c r="V31" i="19" s="1"/>
  <c r="U36" i="19"/>
  <c r="V36" i="19" s="1"/>
  <c r="L59" i="13"/>
  <c r="L8" i="13" s="1"/>
  <c r="Q180" i="5"/>
  <c r="Q186" i="5" s="1"/>
  <c r="Q14" i="5" s="1"/>
  <c r="N186" i="5"/>
  <c r="N14" i="5" s="1"/>
  <c r="X9" i="6"/>
  <c r="H22" i="20"/>
  <c r="H23" i="20" s="1"/>
  <c r="K31" i="21"/>
  <c r="K37" i="21" s="1"/>
  <c r="X9" i="7"/>
  <c r="N82" i="7"/>
  <c r="M10" i="22" s="1"/>
  <c r="M63" i="22" s="1"/>
  <c r="J99" i="18"/>
  <c r="J9" i="18" s="1"/>
  <c r="G99" i="18"/>
  <c r="G9" i="18" s="1"/>
  <c r="L84" i="10"/>
  <c r="V9" i="5"/>
  <c r="Q336" i="5"/>
  <c r="Q342" i="5" s="1"/>
  <c r="Q27" i="5" s="1"/>
  <c r="N342" i="5"/>
  <c r="N27" i="5" s="1"/>
  <c r="S63" i="3"/>
  <c r="Z66" i="3"/>
  <c r="AB66" i="3" s="1"/>
  <c r="G50" i="22"/>
  <c r="Q78" i="3"/>
  <c r="Z60" i="3"/>
  <c r="H95" i="10"/>
  <c r="H9" i="10" s="1"/>
  <c r="H22" i="10" s="1"/>
  <c r="G11" i="20" s="1"/>
  <c r="G66" i="22"/>
  <c r="F66" i="22"/>
  <c r="F50" i="22"/>
  <c r="N24" i="22"/>
  <c r="N81" i="10"/>
  <c r="G18" i="22"/>
  <c r="G71" i="22" s="1"/>
  <c r="H98" i="15"/>
  <c r="H9" i="15" s="1"/>
  <c r="H25" i="15" s="1"/>
  <c r="G16" i="20" s="1"/>
  <c r="L22" i="22"/>
  <c r="L75" i="22" s="1"/>
  <c r="M81" i="19"/>
  <c r="M9" i="19" s="1"/>
  <c r="M12" i="19" s="1"/>
  <c r="L20" i="20" s="1"/>
  <c r="N65" i="19"/>
  <c r="Q65" i="19" s="1"/>
  <c r="L70" i="19"/>
  <c r="Q90" i="13"/>
  <c r="P42" i="22" s="1"/>
  <c r="N90" i="13"/>
  <c r="M42" i="22" s="1"/>
  <c r="N75" i="13"/>
  <c r="Q75" i="13" s="1"/>
  <c r="L80" i="13"/>
  <c r="L78" i="13"/>
  <c r="M79" i="13" s="1"/>
  <c r="L19" i="22"/>
  <c r="L72" i="22" s="1"/>
  <c r="M84" i="16"/>
  <c r="M9" i="16" s="1"/>
  <c r="M14" i="16" s="1"/>
  <c r="L17" i="20" s="1"/>
  <c r="O60" i="22"/>
  <c r="J17" i="22"/>
  <c r="J70" i="22" s="1"/>
  <c r="K77" i="14"/>
  <c r="K9" i="14" s="1"/>
  <c r="K12" i="14" s="1"/>
  <c r="J15" i="20" s="1"/>
  <c r="I16" i="22"/>
  <c r="I69" i="22" s="1"/>
  <c r="J92" i="13"/>
  <c r="J9" i="13" s="1"/>
  <c r="J25" i="13" s="1"/>
  <c r="I14" i="20" s="1"/>
  <c r="I74" i="22"/>
  <c r="N76" i="13"/>
  <c r="Q76" i="13" s="1"/>
  <c r="L81" i="13"/>
  <c r="F18" i="22"/>
  <c r="F71" i="22" s="1"/>
  <c r="G98" i="15"/>
  <c r="G9" i="15" s="1"/>
  <c r="G25" i="15" s="1"/>
  <c r="F16" i="20" s="1"/>
  <c r="J19" i="22"/>
  <c r="J72" i="22" s="1"/>
  <c r="K84" i="16"/>
  <c r="K9" i="16" s="1"/>
  <c r="K14" i="16" s="1"/>
  <c r="J17" i="20" s="1"/>
  <c r="Q79" i="10"/>
  <c r="S78" i="10" s="1"/>
  <c r="N84" i="10"/>
  <c r="G20" i="22"/>
  <c r="G73" i="22" s="1"/>
  <c r="H79" i="17"/>
  <c r="H9" i="17" s="1"/>
  <c r="H12" i="17" s="1"/>
  <c r="G18" i="20" s="1"/>
  <c r="L18" i="22"/>
  <c r="L71" i="22" s="1"/>
  <c r="M98" i="15"/>
  <c r="M9" i="15" s="1"/>
  <c r="M25" i="15" s="1"/>
  <c r="L16" i="20" s="1"/>
  <c r="L93" i="10"/>
  <c r="K39" i="22" s="1"/>
  <c r="N81" i="15"/>
  <c r="L86" i="15"/>
  <c r="L84" i="15"/>
  <c r="M85" i="15" s="1"/>
  <c r="L96" i="15"/>
  <c r="K44" i="22" s="1"/>
  <c r="L79" i="19"/>
  <c r="K48" i="22" s="1"/>
  <c r="F20" i="22"/>
  <c r="F73" i="22" s="1"/>
  <c r="G79" i="17"/>
  <c r="G9" i="17" s="1"/>
  <c r="G12" i="17" s="1"/>
  <c r="F18" i="20" s="1"/>
  <c r="F19" i="22"/>
  <c r="F72" i="22" s="1"/>
  <c r="G84" i="16"/>
  <c r="G9" i="16" s="1"/>
  <c r="G14" i="16" s="1"/>
  <c r="F17" i="20" s="1"/>
  <c r="N82" i="15"/>
  <c r="L87" i="15"/>
  <c r="Q68" i="4"/>
  <c r="N73" i="4"/>
  <c r="N62" i="17"/>
  <c r="L67" i="17"/>
  <c r="L65" i="17"/>
  <c r="M66" i="17" s="1"/>
  <c r="I20" i="22"/>
  <c r="I73" i="22" s="1"/>
  <c r="J79" i="17"/>
  <c r="J9" i="17" s="1"/>
  <c r="J12" i="17" s="1"/>
  <c r="I18" i="20" s="1"/>
  <c r="I18" i="22"/>
  <c r="I71" i="22" s="1"/>
  <c r="J98" i="15"/>
  <c r="J9" i="15" s="1"/>
  <c r="J25" i="15" s="1"/>
  <c r="I16" i="20" s="1"/>
  <c r="G16" i="22"/>
  <c r="H92" i="13"/>
  <c r="H9" i="13" s="1"/>
  <c r="H25" i="13" s="1"/>
  <c r="G14" i="20" s="1"/>
  <c r="H77" i="14"/>
  <c r="H9" i="14" s="1"/>
  <c r="H12" i="14" s="1"/>
  <c r="G15" i="20" s="1"/>
  <c r="G17" i="22"/>
  <c r="G70" i="22" s="1"/>
  <c r="G81" i="19"/>
  <c r="G9" i="19" s="1"/>
  <c r="G12" i="19" s="1"/>
  <c r="F20" i="20" s="1"/>
  <c r="F22" i="22"/>
  <c r="F75" i="22" s="1"/>
  <c r="N63" i="17"/>
  <c r="L68" i="17"/>
  <c r="M92" i="13"/>
  <c r="M9" i="13" s="1"/>
  <c r="M25" i="13" s="1"/>
  <c r="L14" i="20" s="1"/>
  <c r="L16" i="22"/>
  <c r="L69" i="22" s="1"/>
  <c r="N68" i="16"/>
  <c r="L73" i="16"/>
  <c r="L20" i="22"/>
  <c r="L73" i="22" s="1"/>
  <c r="M79" i="17"/>
  <c r="M9" i="17" s="1"/>
  <c r="M12" i="17" s="1"/>
  <c r="L18" i="20" s="1"/>
  <c r="N67" i="16"/>
  <c r="L72" i="16"/>
  <c r="L70" i="16"/>
  <c r="M71" i="16" s="1"/>
  <c r="Q83" i="12"/>
  <c r="N64" i="19"/>
  <c r="L69" i="19"/>
  <c r="L67" i="19"/>
  <c r="M68" i="19" s="1"/>
  <c r="F17" i="22"/>
  <c r="F70" i="22" s="1"/>
  <c r="G77" i="14"/>
  <c r="G9" i="14" s="1"/>
  <c r="G12" i="14" s="1"/>
  <c r="F15" i="20" s="1"/>
  <c r="O19" i="22"/>
  <c r="O72" i="22" s="1"/>
  <c r="P84" i="16"/>
  <c r="P9" i="16" s="1"/>
  <c r="P14" i="16" s="1"/>
  <c r="O17" i="20" s="1"/>
  <c r="O16" i="22"/>
  <c r="O69" i="22" s="1"/>
  <c r="P92" i="13"/>
  <c r="P9" i="13" s="1"/>
  <c r="P25" i="13" s="1"/>
  <c r="O14" i="20" s="1"/>
  <c r="O17" i="22"/>
  <c r="O70" i="22" s="1"/>
  <c r="P77" i="14"/>
  <c r="P9" i="14" s="1"/>
  <c r="P12" i="14" s="1"/>
  <c r="O15" i="20" s="1"/>
  <c r="L89" i="18"/>
  <c r="Q91" i="7"/>
  <c r="Q94" i="7" s="1"/>
  <c r="N94" i="7"/>
  <c r="Q49" i="6"/>
  <c r="Q7" i="6" s="1"/>
  <c r="L17" i="22"/>
  <c r="L70" i="22" s="1"/>
  <c r="M77" i="14"/>
  <c r="M9" i="14" s="1"/>
  <c r="M12" i="14" s="1"/>
  <c r="L15" i="20" s="1"/>
  <c r="G22" i="22"/>
  <c r="G75" i="22" s="1"/>
  <c r="H81" i="19"/>
  <c r="H9" i="19" s="1"/>
  <c r="H12" i="19" s="1"/>
  <c r="G20" i="20" s="1"/>
  <c r="N60" i="14"/>
  <c r="Q60" i="14" s="1"/>
  <c r="L65" i="14"/>
  <c r="L63" i="14"/>
  <c r="M64" i="14" s="1"/>
  <c r="J20" i="22"/>
  <c r="J73" i="22" s="1"/>
  <c r="K79" i="17"/>
  <c r="K9" i="17" s="1"/>
  <c r="K12" i="17" s="1"/>
  <c r="J18" i="20" s="1"/>
  <c r="N61" i="14"/>
  <c r="L66" i="14"/>
  <c r="O22" i="22"/>
  <c r="O75" i="22" s="1"/>
  <c r="P81" i="19"/>
  <c r="P9" i="19" s="1"/>
  <c r="P12" i="19" s="1"/>
  <c r="O20" i="20" s="1"/>
  <c r="S82" i="18"/>
  <c r="N89" i="18"/>
  <c r="Q86" i="12"/>
  <c r="X12" i="12"/>
  <c r="Q85" i="12"/>
  <c r="X11" i="12"/>
  <c r="O18" i="22"/>
  <c r="O71" i="22" s="1"/>
  <c r="P98" i="15"/>
  <c r="P9" i="15" s="1"/>
  <c r="P25" i="15" s="1"/>
  <c r="O16" i="20" s="1"/>
  <c r="I19" i="22"/>
  <c r="I72" i="22" s="1"/>
  <c r="J84" i="16"/>
  <c r="J9" i="16" s="1"/>
  <c r="J14" i="16" s="1"/>
  <c r="I17" i="20" s="1"/>
  <c r="Q82" i="16"/>
  <c r="P45" i="22" s="1"/>
  <c r="N82" i="16"/>
  <c r="M45" i="22" s="1"/>
  <c r="J22" i="22"/>
  <c r="J75" i="22" s="1"/>
  <c r="K81" i="19"/>
  <c r="K9" i="19" s="1"/>
  <c r="K12" i="19" s="1"/>
  <c r="J20" i="20" s="1"/>
  <c r="I22" i="22"/>
  <c r="I75" i="22" s="1"/>
  <c r="J81" i="19"/>
  <c r="J9" i="19" s="1"/>
  <c r="J12" i="19" s="1"/>
  <c r="I20" i="20" s="1"/>
  <c r="Q80" i="7"/>
  <c r="S106" i="5"/>
  <c r="N113" i="5"/>
  <c r="K13" i="22"/>
  <c r="L75" i="14"/>
  <c r="K43" i="22" s="1"/>
  <c r="N88" i="18"/>
  <c r="L97" i="18"/>
  <c r="I17" i="22"/>
  <c r="I70" i="22" s="1"/>
  <c r="J77" i="14"/>
  <c r="J9" i="14" s="1"/>
  <c r="J12" i="14" s="1"/>
  <c r="I15" i="20" s="1"/>
  <c r="L88" i="18"/>
  <c r="J18" i="22"/>
  <c r="J71" i="22" s="1"/>
  <c r="K98" i="15"/>
  <c r="K9" i="15" s="1"/>
  <c r="K25" i="15" s="1"/>
  <c r="J16" i="20" s="1"/>
  <c r="G92" i="13"/>
  <c r="G9" i="13" s="1"/>
  <c r="G25" i="13" s="1"/>
  <c r="F14" i="20" s="1"/>
  <c r="F16" i="22"/>
  <c r="F69" i="22" s="1"/>
  <c r="L77" i="17"/>
  <c r="K46" i="22" s="1"/>
  <c r="G95" i="10"/>
  <c r="G9" i="10" s="1"/>
  <c r="G22" i="10" s="1"/>
  <c r="F11" i="20" s="1"/>
  <c r="J16" i="22"/>
  <c r="J69" i="22" s="1"/>
  <c r="K92" i="13"/>
  <c r="K9" i="13" s="1"/>
  <c r="K25" i="13" s="1"/>
  <c r="J14" i="20" s="1"/>
  <c r="G19" i="22"/>
  <c r="G72" i="22" s="1"/>
  <c r="H84" i="16"/>
  <c r="H9" i="16" s="1"/>
  <c r="H14" i="16" s="1"/>
  <c r="G17" i="20" s="1"/>
  <c r="Q82" i="18"/>
  <c r="N85" i="18"/>
  <c r="M21" i="22" s="1"/>
  <c r="Q69" i="3"/>
  <c r="X9" i="13"/>
  <c r="N171" i="18"/>
  <c r="N15" i="18" s="1"/>
  <c r="Q165" i="18"/>
  <c r="Q171" i="18" s="1"/>
  <c r="Q15" i="18" s="1"/>
  <c r="U12" i="18" s="1"/>
  <c r="Q53" i="13"/>
  <c r="X8" i="13" s="1"/>
  <c r="N59" i="13"/>
  <c r="N8" i="13" s="1"/>
  <c r="L15" i="11"/>
  <c r="K12" i="20" s="1"/>
  <c r="L56" i="9"/>
  <c r="L8" i="9" s="1"/>
  <c r="L16" i="9" s="1"/>
  <c r="K10" i="20" s="1"/>
  <c r="N11" i="8"/>
  <c r="M9" i="20" s="1"/>
  <c r="Q7" i="16"/>
  <c r="P32" i="21"/>
  <c r="N7" i="16"/>
  <c r="M32" i="21"/>
  <c r="Q40" i="17"/>
  <c r="X8" i="17" s="1"/>
  <c r="N46" i="17"/>
  <c r="N8" i="17" s="1"/>
  <c r="Q88" i="9"/>
  <c r="Q9" i="9" s="1"/>
  <c r="N88" i="9"/>
  <c r="N9" i="9" s="1"/>
  <c r="M65" i="22"/>
  <c r="Q56" i="10"/>
  <c r="N62" i="10"/>
  <c r="N8" i="10" s="1"/>
  <c r="X8" i="19"/>
  <c r="X9" i="4"/>
  <c r="Q45" i="4"/>
  <c r="N51" i="4"/>
  <c r="N8" i="4" s="1"/>
  <c r="M14" i="22"/>
  <c r="M67" i="22" s="1"/>
  <c r="N86" i="11"/>
  <c r="N9" i="11" s="1"/>
  <c r="X8" i="11"/>
  <c r="Q27" i="11"/>
  <c r="X14" i="11" s="1"/>
  <c r="M30" i="21"/>
  <c r="N7" i="14"/>
  <c r="Q37" i="13"/>
  <c r="Q59" i="15"/>
  <c r="X8" i="15" s="1"/>
  <c r="N65" i="15"/>
  <c r="N8" i="15" s="1"/>
  <c r="N7" i="3"/>
  <c r="M19" i="21"/>
  <c r="T62" i="12"/>
  <c r="Q64" i="12"/>
  <c r="Q8" i="12" s="1"/>
  <c r="M15" i="22"/>
  <c r="Q38" i="14"/>
  <c r="X8" i="14" s="1"/>
  <c r="P26" i="21"/>
  <c r="Q7" i="10"/>
  <c r="Q66" i="5"/>
  <c r="M23" i="21"/>
  <c r="N7" i="7"/>
  <c r="N7" i="13"/>
  <c r="M29" i="21"/>
  <c r="Q41" i="3"/>
  <c r="N47" i="3"/>
  <c r="N8" i="3" s="1"/>
  <c r="Q27" i="3"/>
  <c r="P8" i="21"/>
  <c r="P14" i="21" s="1"/>
  <c r="N7" i="12"/>
  <c r="M28" i="21"/>
  <c r="N68" i="6"/>
  <c r="L74" i="6"/>
  <c r="L8" i="6" s="1"/>
  <c r="Q128" i="3"/>
  <c r="Q13" i="3" s="1"/>
  <c r="X9" i="3"/>
  <c r="S37" i="6"/>
  <c r="Q7" i="18"/>
  <c r="P34" i="21"/>
  <c r="X8" i="7"/>
  <c r="N63" i="7"/>
  <c r="N8" i="7" s="1"/>
  <c r="P31" i="21"/>
  <c r="Q7" i="15"/>
  <c r="P33" i="21"/>
  <c r="Q7" i="17"/>
  <c r="X14" i="8"/>
  <c r="P24" i="21"/>
  <c r="Q7" i="8"/>
  <c r="Q11" i="8" s="1"/>
  <c r="P9" i="20" s="1"/>
  <c r="P25" i="21"/>
  <c r="Q7" i="9"/>
  <c r="Q50" i="9"/>
  <c r="N56" i="9"/>
  <c r="N8" i="9" s="1"/>
  <c r="Q24" i="14"/>
  <c r="P14" i="22"/>
  <c r="Q86" i="11"/>
  <c r="Q9" i="11" s="1"/>
  <c r="N7" i="11"/>
  <c r="M27" i="21"/>
  <c r="Q10" i="17"/>
  <c r="X82" i="17"/>
  <c r="N7" i="5"/>
  <c r="Q32" i="7"/>
  <c r="Q34" i="12"/>
  <c r="X8" i="12"/>
  <c r="N7" i="6"/>
  <c r="M22" i="21"/>
  <c r="P65" i="22"/>
  <c r="S12" i="22"/>
  <c r="U12" i="22" s="1"/>
  <c r="N51" i="16"/>
  <c r="N8" i="16" s="1"/>
  <c r="Q45" i="16"/>
  <c r="Q91" i="6" l="1"/>
  <c r="S90" i="6" s="1"/>
  <c r="U37" i="8"/>
  <c r="V51" i="18"/>
  <c r="W51" i="18" s="1"/>
  <c r="V53" i="18"/>
  <c r="W53" i="18" s="1"/>
  <c r="L6" i="20"/>
  <c r="L22" i="20" s="1"/>
  <c r="L23" i="20" s="1"/>
  <c r="M55" i="5"/>
  <c r="V37" i="8"/>
  <c r="V50" i="18"/>
  <c r="W50" i="18" s="1"/>
  <c r="V48" i="18"/>
  <c r="W48" i="18" s="1"/>
  <c r="V46" i="18"/>
  <c r="W46" i="18" s="1"/>
  <c r="V55" i="18"/>
  <c r="W55" i="18" s="1"/>
  <c r="V54" i="18"/>
  <c r="W54" i="18" s="1"/>
  <c r="V45" i="18"/>
  <c r="W45" i="18" s="1"/>
  <c r="V44" i="18"/>
  <c r="W44" i="18" s="1"/>
  <c r="V49" i="18"/>
  <c r="W49" i="18" s="1"/>
  <c r="V52" i="18"/>
  <c r="W52" i="18" s="1"/>
  <c r="V57" i="18"/>
  <c r="W57" i="18" s="1"/>
  <c r="V47" i="18"/>
  <c r="W47" i="18" s="1"/>
  <c r="N109" i="5"/>
  <c r="M8" i="22" s="1"/>
  <c r="M61" i="22" s="1"/>
  <c r="Q106" i="5"/>
  <c r="Q109" i="5" s="1"/>
  <c r="V14" i="5" s="1"/>
  <c r="N70" i="4"/>
  <c r="M7" i="22" s="1"/>
  <c r="M60" i="22" s="1"/>
  <c r="Q72" i="4"/>
  <c r="N93" i="6"/>
  <c r="M9" i="22" s="1"/>
  <c r="M62" i="22" s="1"/>
  <c r="Q90" i="6"/>
  <c r="Q93" i="6" s="1"/>
  <c r="P9" i="22" s="1"/>
  <c r="K68" i="22"/>
  <c r="V30" i="19"/>
  <c r="V41" i="19" s="1"/>
  <c r="U41" i="19"/>
  <c r="F9" i="16"/>
  <c r="F9" i="14"/>
  <c r="L9" i="7"/>
  <c r="L20" i="7" s="1"/>
  <c r="M97" i="7"/>
  <c r="K9" i="22"/>
  <c r="K62" i="22" s="1"/>
  <c r="M94" i="6"/>
  <c r="K8" i="22"/>
  <c r="K61" i="22" s="1"/>
  <c r="M110" i="5"/>
  <c r="K7" i="22"/>
  <c r="K60" i="22" s="1"/>
  <c r="M71" i="4"/>
  <c r="F100" i="15"/>
  <c r="L107" i="6"/>
  <c r="L9" i="6" s="1"/>
  <c r="L37" i="6" s="1"/>
  <c r="K7" i="20" s="1"/>
  <c r="N95" i="6"/>
  <c r="T82" i="4"/>
  <c r="S79" i="7"/>
  <c r="X12" i="7"/>
  <c r="M12" i="8"/>
  <c r="R9" i="20" s="1"/>
  <c r="Q97" i="12"/>
  <c r="Q9" i="12" s="1"/>
  <c r="N72" i="4"/>
  <c r="E77" i="22"/>
  <c r="F9" i="6"/>
  <c r="F109" i="6"/>
  <c r="F9" i="17"/>
  <c r="F81" i="17"/>
  <c r="F9" i="19"/>
  <c r="E24" i="22"/>
  <c r="N97" i="12"/>
  <c r="N9" i="12" s="1"/>
  <c r="N22" i="12" s="1"/>
  <c r="M13" i="20" s="1"/>
  <c r="Q66" i="3"/>
  <c r="Q80" i="3" s="1"/>
  <c r="Q68" i="3"/>
  <c r="M68" i="22"/>
  <c r="Z65" i="3"/>
  <c r="AB65" i="3" s="1"/>
  <c r="L84" i="4"/>
  <c r="L9" i="4" s="1"/>
  <c r="L14" i="4" s="1"/>
  <c r="M15" i="4" s="1"/>
  <c r="R5" i="20" s="1"/>
  <c r="H26" i="18"/>
  <c r="G19" i="20" s="1"/>
  <c r="G22" i="20" s="1"/>
  <c r="G23" i="20" s="1"/>
  <c r="L15" i="3"/>
  <c r="M16" i="3" s="1"/>
  <c r="R4" i="20" s="1"/>
  <c r="L97" i="12"/>
  <c r="L9" i="12" s="1"/>
  <c r="L22" i="12" s="1"/>
  <c r="M23" i="12" s="1"/>
  <c r="R13" i="20" s="1"/>
  <c r="N80" i="3"/>
  <c r="N9" i="3" s="1"/>
  <c r="N15" i="3" s="1"/>
  <c r="M4" i="20" s="1"/>
  <c r="K32" i="22"/>
  <c r="K59" i="22" s="1"/>
  <c r="O50" i="22"/>
  <c r="N22" i="20"/>
  <c r="N23" i="20" s="1"/>
  <c r="I50" i="22"/>
  <c r="J26" i="18"/>
  <c r="I19" i="20" s="1"/>
  <c r="I22" i="20" s="1"/>
  <c r="I23" i="20" s="1"/>
  <c r="G26" i="18"/>
  <c r="F19" i="20" s="1"/>
  <c r="F22" i="20" s="1"/>
  <c r="F23" i="20" s="1"/>
  <c r="P15" i="22"/>
  <c r="P68" i="22" s="1"/>
  <c r="N112" i="5"/>
  <c r="L50" i="22"/>
  <c r="V33" i="11"/>
  <c r="V46" i="11" s="1"/>
  <c r="U46" i="11"/>
  <c r="L123" i="5"/>
  <c r="L9" i="5" s="1"/>
  <c r="L52" i="5" s="1"/>
  <c r="K6" i="20" s="1"/>
  <c r="N96" i="7"/>
  <c r="N9" i="7" s="1"/>
  <c r="N20" i="7" s="1"/>
  <c r="M8" i="20" s="1"/>
  <c r="V8" i="5"/>
  <c r="L95" i="10"/>
  <c r="L9" i="10" s="1"/>
  <c r="L22" i="10" s="1"/>
  <c r="K11" i="20" s="1"/>
  <c r="K66" i="22"/>
  <c r="Q82" i="7"/>
  <c r="P10" i="22" s="1"/>
  <c r="S10" i="22" s="1"/>
  <c r="U10" i="22" s="1"/>
  <c r="P32" i="22"/>
  <c r="F77" i="22"/>
  <c r="X8" i="18"/>
  <c r="J22" i="20"/>
  <c r="J23" i="20" s="1"/>
  <c r="I77" i="22"/>
  <c r="J77" i="22"/>
  <c r="Z72" i="3"/>
  <c r="AB72" i="3" s="1"/>
  <c r="AB60" i="3"/>
  <c r="X8" i="3"/>
  <c r="O22" i="20"/>
  <c r="O23" i="20" s="1"/>
  <c r="L77" i="22"/>
  <c r="Q75" i="14"/>
  <c r="P43" i="22" s="1"/>
  <c r="N75" i="14"/>
  <c r="M43" i="22" s="1"/>
  <c r="Q62" i="17"/>
  <c r="N67" i="17"/>
  <c r="N65" i="17"/>
  <c r="F24" i="22"/>
  <c r="O77" i="22"/>
  <c r="Q77" i="17"/>
  <c r="P46" i="22" s="1"/>
  <c r="N77" i="17"/>
  <c r="M46" i="22" s="1"/>
  <c r="X11" i="7"/>
  <c r="Q68" i="16"/>
  <c r="S67" i="16" s="1"/>
  <c r="N73" i="16"/>
  <c r="K22" i="22"/>
  <c r="K75" i="22" s="1"/>
  <c r="L81" i="19"/>
  <c r="L9" i="19" s="1"/>
  <c r="L12" i="19" s="1"/>
  <c r="K20" i="20" s="1"/>
  <c r="Q85" i="18"/>
  <c r="L77" i="14"/>
  <c r="L9" i="14" s="1"/>
  <c r="K17" i="22"/>
  <c r="K70" i="22" s="1"/>
  <c r="G69" i="22"/>
  <c r="G77" i="22" s="1"/>
  <c r="G24" i="22"/>
  <c r="Q96" i="15"/>
  <c r="P44" i="22" s="1"/>
  <c r="N96" i="15"/>
  <c r="M44" i="22" s="1"/>
  <c r="S75" i="13"/>
  <c r="N81" i="13"/>
  <c r="Q79" i="19"/>
  <c r="P48" i="22" s="1"/>
  <c r="N79" i="19"/>
  <c r="M48" i="22" s="1"/>
  <c r="Q64" i="19"/>
  <c r="N69" i="19"/>
  <c r="N67" i="19"/>
  <c r="Q82" i="15"/>
  <c r="N87" i="15"/>
  <c r="J24" i="22"/>
  <c r="Q73" i="4"/>
  <c r="X12" i="4"/>
  <c r="Q93" i="10"/>
  <c r="P39" i="22" s="1"/>
  <c r="N93" i="10"/>
  <c r="M39" i="22" s="1"/>
  <c r="Q113" i="5"/>
  <c r="V12" i="5"/>
  <c r="X10" i="5" s="1"/>
  <c r="Q89" i="18"/>
  <c r="X12" i="18"/>
  <c r="Q84" i="10"/>
  <c r="X12" i="10"/>
  <c r="X21" i="10" s="1"/>
  <c r="L92" i="13"/>
  <c r="L9" i="13" s="1"/>
  <c r="L25" i="13" s="1"/>
  <c r="K14" i="20" s="1"/>
  <c r="K16" i="22"/>
  <c r="K69" i="22" s="1"/>
  <c r="N83" i="10"/>
  <c r="M13" i="22"/>
  <c r="P22" i="21"/>
  <c r="K47" i="22"/>
  <c r="K74" i="22" s="1"/>
  <c r="L99" i="18"/>
  <c r="L9" i="18" s="1"/>
  <c r="K19" i="22"/>
  <c r="K72" i="22" s="1"/>
  <c r="L84" i="16"/>
  <c r="L9" i="16" s="1"/>
  <c r="L14" i="16" s="1"/>
  <c r="Q63" i="17"/>
  <c r="S62" i="17" s="1"/>
  <c r="N68" i="17"/>
  <c r="K18" i="22"/>
  <c r="K71" i="22" s="1"/>
  <c r="L98" i="15"/>
  <c r="L9" i="15" s="1"/>
  <c r="L25" i="15" s="1"/>
  <c r="K16" i="20" s="1"/>
  <c r="Q81" i="10"/>
  <c r="Q61" i="14"/>
  <c r="S60" i="14" s="1"/>
  <c r="N66" i="14"/>
  <c r="N65" i="14"/>
  <c r="N63" i="14"/>
  <c r="L24" i="22"/>
  <c r="Q97" i="18"/>
  <c r="P47" i="22" s="1"/>
  <c r="N97" i="18"/>
  <c r="M47" i="22" s="1"/>
  <c r="M74" i="22" s="1"/>
  <c r="I24" i="22"/>
  <c r="T91" i="6"/>
  <c r="X12" i="6"/>
  <c r="Q96" i="6"/>
  <c r="K20" i="22"/>
  <c r="K73" i="22" s="1"/>
  <c r="L79" i="17"/>
  <c r="L9" i="17" s="1"/>
  <c r="L12" i="17" s="1"/>
  <c r="K18" i="20" s="1"/>
  <c r="N80" i="13"/>
  <c r="N78" i="13"/>
  <c r="N70" i="19"/>
  <c r="T92" i="7"/>
  <c r="Q67" i="16"/>
  <c r="N72" i="16"/>
  <c r="N70" i="16"/>
  <c r="Q81" i="15"/>
  <c r="N84" i="15"/>
  <c r="N86" i="15"/>
  <c r="O24" i="22"/>
  <c r="T57" i="13"/>
  <c r="Q59" i="13"/>
  <c r="Q8" i="13" s="1"/>
  <c r="M16" i="11"/>
  <c r="R12" i="20" s="1"/>
  <c r="N15" i="11"/>
  <c r="M12" i="20" s="1"/>
  <c r="M17" i="9"/>
  <c r="R10" i="20" s="1"/>
  <c r="T44" i="17"/>
  <c r="Q46" i="17"/>
  <c r="N16" i="9"/>
  <c r="M10" i="20" s="1"/>
  <c r="T60" i="10"/>
  <c r="Q62" i="10"/>
  <c r="X8" i="10"/>
  <c r="T49" i="4"/>
  <c r="X8" i="4"/>
  <c r="Q51" i="4"/>
  <c r="Q68" i="6"/>
  <c r="X8" i="6" s="1"/>
  <c r="N74" i="6"/>
  <c r="N8" i="6" s="1"/>
  <c r="P23" i="21"/>
  <c r="Q7" i="7"/>
  <c r="Q7" i="3"/>
  <c r="T7" i="3" s="1"/>
  <c r="P19" i="21"/>
  <c r="Q7" i="13"/>
  <c r="P29" i="21"/>
  <c r="Q7" i="11"/>
  <c r="Q15" i="11" s="1"/>
  <c r="P12" i="20" s="1"/>
  <c r="P27" i="21"/>
  <c r="P67" i="22"/>
  <c r="S14" i="22"/>
  <c r="U14" i="22" s="1"/>
  <c r="U44" i="12"/>
  <c r="V44" i="12" s="1"/>
  <c r="U47" i="12"/>
  <c r="V47" i="12" s="1"/>
  <c r="U46" i="12"/>
  <c r="V46" i="12" s="1"/>
  <c r="U43" i="12"/>
  <c r="V43" i="12" s="1"/>
  <c r="U49" i="12"/>
  <c r="V49" i="12" s="1"/>
  <c r="U53" i="12"/>
  <c r="V53" i="12" s="1"/>
  <c r="U51" i="12"/>
  <c r="V51" i="12" s="1"/>
  <c r="U41" i="12"/>
  <c r="V41" i="12" s="1"/>
  <c r="U55" i="12"/>
  <c r="V55" i="12" s="1"/>
  <c r="U42" i="12"/>
  <c r="V42" i="12" s="1"/>
  <c r="U48" i="12"/>
  <c r="V48" i="12" s="1"/>
  <c r="U40" i="12"/>
  <c r="U52" i="12"/>
  <c r="V52" i="12" s="1"/>
  <c r="U45" i="12"/>
  <c r="V45" i="12" s="1"/>
  <c r="U54" i="12"/>
  <c r="V54" i="12" s="1"/>
  <c r="U50" i="12"/>
  <c r="V50" i="12" s="1"/>
  <c r="P28" i="21"/>
  <c r="X14" i="12"/>
  <c r="Q7" i="12"/>
  <c r="M59" i="22"/>
  <c r="Q7" i="5"/>
  <c r="P21" i="21"/>
  <c r="T63" i="15"/>
  <c r="U55" i="15" s="1"/>
  <c r="V55" i="15" s="1"/>
  <c r="Q65" i="15"/>
  <c r="T49" i="16"/>
  <c r="Q51" i="16"/>
  <c r="X8" i="16"/>
  <c r="P30" i="21"/>
  <c r="Q7" i="14"/>
  <c r="T54" i="9"/>
  <c r="Q56" i="9"/>
  <c r="X8" i="9"/>
  <c r="T61" i="7"/>
  <c r="U54" i="7" s="1"/>
  <c r="V54" i="7" s="1"/>
  <c r="Q63" i="7"/>
  <c r="Q8" i="7" s="1"/>
  <c r="M37" i="21"/>
  <c r="W58" i="18" l="1"/>
  <c r="M21" i="7"/>
  <c r="R8" i="20" s="1"/>
  <c r="V58" i="18"/>
  <c r="N84" i="4"/>
  <c r="N9" i="4" s="1"/>
  <c r="N14" i="4" s="1"/>
  <c r="M5" i="20" s="1"/>
  <c r="S101" i="6"/>
  <c r="N123" i="5"/>
  <c r="N9" i="5" s="1"/>
  <c r="N52" i="5" s="1"/>
  <c r="M6" i="20" s="1"/>
  <c r="X11" i="4"/>
  <c r="N107" i="6"/>
  <c r="N9" i="6" s="1"/>
  <c r="N37" i="6" s="1"/>
  <c r="M7" i="20" s="1"/>
  <c r="Q95" i="6"/>
  <c r="X11" i="6"/>
  <c r="Q70" i="4"/>
  <c r="Q84" i="4" s="1"/>
  <c r="Q9" i="4" s="1"/>
  <c r="U51" i="7"/>
  <c r="V51" i="7" s="1"/>
  <c r="U47" i="7"/>
  <c r="V47" i="7" s="1"/>
  <c r="U46" i="7"/>
  <c r="V46" i="7" s="1"/>
  <c r="U48" i="7"/>
  <c r="V48" i="7" s="1"/>
  <c r="U49" i="7"/>
  <c r="V49" i="7" s="1"/>
  <c r="U53" i="7"/>
  <c r="V53" i="7" s="1"/>
  <c r="U44" i="7"/>
  <c r="V44" i="7" s="1"/>
  <c r="U50" i="7"/>
  <c r="V50" i="7" s="1"/>
  <c r="U45" i="7"/>
  <c r="V45" i="7" s="1"/>
  <c r="U52" i="7"/>
  <c r="V52" i="7" s="1"/>
  <c r="K8" i="20"/>
  <c r="Q22" i="12"/>
  <c r="P13" i="20" s="1"/>
  <c r="S94" i="15"/>
  <c r="X12" i="15"/>
  <c r="U40" i="9"/>
  <c r="V40" i="9" s="1"/>
  <c r="U47" i="9"/>
  <c r="P6" i="22"/>
  <c r="S6" i="22" s="1"/>
  <c r="U6" i="22" s="1"/>
  <c r="Z67" i="3"/>
  <c r="AB67" i="3" s="1"/>
  <c r="K13" i="20"/>
  <c r="K5" i="20"/>
  <c r="K4" i="20"/>
  <c r="X14" i="18"/>
  <c r="S64" i="19"/>
  <c r="S77" i="19"/>
  <c r="Q112" i="5"/>
  <c r="V11" i="5"/>
  <c r="S81" i="15"/>
  <c r="S15" i="22"/>
  <c r="U15" i="22" s="1"/>
  <c r="L26" i="18"/>
  <c r="M27" i="18" s="1"/>
  <c r="R19" i="20" s="1"/>
  <c r="M53" i="5"/>
  <c r="R6" i="20" s="1"/>
  <c r="P8" i="22"/>
  <c r="P61" i="22" s="1"/>
  <c r="U56" i="15"/>
  <c r="V56" i="15" s="1"/>
  <c r="U49" i="15"/>
  <c r="Q123" i="5"/>
  <c r="Q9" i="5" s="1"/>
  <c r="M38" i="6"/>
  <c r="R7" i="20" s="1"/>
  <c r="M23" i="10"/>
  <c r="R11" i="20" s="1"/>
  <c r="P63" i="22"/>
  <c r="Q96" i="7"/>
  <c r="Q9" i="7" s="1"/>
  <c r="Q20" i="7" s="1"/>
  <c r="P8" i="20" s="1"/>
  <c r="Q107" i="6"/>
  <c r="Q9" i="6" s="1"/>
  <c r="X11" i="10"/>
  <c r="Q83" i="10"/>
  <c r="P50" i="22"/>
  <c r="Q9" i="3"/>
  <c r="M26" i="13"/>
  <c r="R14" i="20" s="1"/>
  <c r="M66" i="22"/>
  <c r="N95" i="10"/>
  <c r="N9" i="10" s="1"/>
  <c r="N22" i="10" s="1"/>
  <c r="M11" i="20" s="1"/>
  <c r="M50" i="22"/>
  <c r="K77" i="22"/>
  <c r="M13" i="19"/>
  <c r="R20" i="20" s="1"/>
  <c r="M26" i="15"/>
  <c r="R16" i="20" s="1"/>
  <c r="T61" i="14"/>
  <c r="Q66" i="14"/>
  <c r="X12" i="14"/>
  <c r="Z19" i="14" s="1"/>
  <c r="X14" i="7"/>
  <c r="P13" i="22"/>
  <c r="Q95" i="10"/>
  <c r="Q9" i="10" s="1"/>
  <c r="M13" i="17"/>
  <c r="R18" i="20" s="1"/>
  <c r="N99" i="18"/>
  <c r="N9" i="18" s="1"/>
  <c r="M20" i="22"/>
  <c r="M73" i="22" s="1"/>
  <c r="N79" i="17"/>
  <c r="N9" i="17" s="1"/>
  <c r="N12" i="17" s="1"/>
  <c r="M18" i="20" s="1"/>
  <c r="Q72" i="16"/>
  <c r="X11" i="16"/>
  <c r="Q70" i="16"/>
  <c r="X14" i="16" s="1"/>
  <c r="P21" i="22"/>
  <c r="Q99" i="18"/>
  <c r="Q9" i="18" s="1"/>
  <c r="N81" i="19"/>
  <c r="N9" i="19" s="1"/>
  <c r="N12" i="19" s="1"/>
  <c r="M20" i="20" s="1"/>
  <c r="M22" i="22"/>
  <c r="M75" i="22" s="1"/>
  <c r="X11" i="18"/>
  <c r="K24" i="22"/>
  <c r="L26" i="22" s="1"/>
  <c r="Q67" i="17"/>
  <c r="X11" i="17"/>
  <c r="Q65" i="17"/>
  <c r="N84" i="16"/>
  <c r="N9" i="16" s="1"/>
  <c r="N14" i="16" s="1"/>
  <c r="M17" i="20" s="1"/>
  <c r="M19" i="22"/>
  <c r="M72" i="22" s="1"/>
  <c r="V75" i="19"/>
  <c r="X11" i="19"/>
  <c r="Q69" i="19"/>
  <c r="Q67" i="19"/>
  <c r="X12" i="13"/>
  <c r="Q81" i="13"/>
  <c r="Q88" i="18"/>
  <c r="X12" i="19"/>
  <c r="Q70" i="19"/>
  <c r="Q73" i="16"/>
  <c r="X12" i="16"/>
  <c r="N92" i="13"/>
  <c r="N9" i="13" s="1"/>
  <c r="N25" i="13" s="1"/>
  <c r="M14" i="20" s="1"/>
  <c r="M16" i="22"/>
  <c r="N77" i="14"/>
  <c r="N9" i="14" s="1"/>
  <c r="M17" i="22"/>
  <c r="M70" i="22" s="1"/>
  <c r="Q68" i="17"/>
  <c r="X12" i="17"/>
  <c r="M18" i="22"/>
  <c r="M71" i="22" s="1"/>
  <c r="N98" i="15"/>
  <c r="N9" i="15" s="1"/>
  <c r="N25" i="15" s="1"/>
  <c r="M16" i="20" s="1"/>
  <c r="K17" i="20"/>
  <c r="M15" i="16"/>
  <c r="R17" i="20" s="1"/>
  <c r="Q86" i="15"/>
  <c r="X11" i="15"/>
  <c r="Q84" i="15"/>
  <c r="Q80" i="13"/>
  <c r="X11" i="13"/>
  <c r="Q78" i="13"/>
  <c r="X14" i="13" s="1"/>
  <c r="Q65" i="14"/>
  <c r="Q63" i="14"/>
  <c r="T82" i="15"/>
  <c r="Q87" i="15"/>
  <c r="K50" i="22"/>
  <c r="U57" i="12"/>
  <c r="U47" i="13"/>
  <c r="V47" i="13" s="1"/>
  <c r="U44" i="13"/>
  <c r="V44" i="13" s="1"/>
  <c r="U45" i="13"/>
  <c r="V45" i="13" s="1"/>
  <c r="U49" i="13"/>
  <c r="V49" i="13" s="1"/>
  <c r="U46" i="13"/>
  <c r="V46" i="13" s="1"/>
  <c r="U50" i="13"/>
  <c r="V50" i="13" s="1"/>
  <c r="U48" i="13"/>
  <c r="V48" i="13" s="1"/>
  <c r="U43" i="13"/>
  <c r="Q8" i="17"/>
  <c r="U34" i="17"/>
  <c r="V34" i="17" s="1"/>
  <c r="U32" i="17"/>
  <c r="V32" i="17" s="1"/>
  <c r="U31" i="17"/>
  <c r="V31" i="17" s="1"/>
  <c r="U35" i="17"/>
  <c r="V35" i="17" s="1"/>
  <c r="U36" i="17"/>
  <c r="V36" i="17" s="1"/>
  <c r="U37" i="17"/>
  <c r="V37" i="17" s="1"/>
  <c r="U33" i="17"/>
  <c r="V33" i="17" s="1"/>
  <c r="U30" i="17"/>
  <c r="U52" i="10"/>
  <c r="V52" i="10" s="1"/>
  <c r="U44" i="10"/>
  <c r="V44" i="10" s="1"/>
  <c r="U48" i="10"/>
  <c r="V48" i="10" s="1"/>
  <c r="U41" i="10"/>
  <c r="V41" i="10" s="1"/>
  <c r="U42" i="10"/>
  <c r="V42" i="10" s="1"/>
  <c r="U43" i="10"/>
  <c r="V43" i="10" s="1"/>
  <c r="U40" i="10"/>
  <c r="U49" i="10"/>
  <c r="V49" i="10" s="1"/>
  <c r="U45" i="10"/>
  <c r="V45" i="10" s="1"/>
  <c r="U47" i="10"/>
  <c r="V47" i="10" s="1"/>
  <c r="U51" i="10"/>
  <c r="V51" i="10" s="1"/>
  <c r="U53" i="10"/>
  <c r="V53" i="10" s="1"/>
  <c r="U46" i="10"/>
  <c r="V46" i="10" s="1"/>
  <c r="U50" i="10"/>
  <c r="V50" i="10" s="1"/>
  <c r="Q8" i="10"/>
  <c r="X14" i="10"/>
  <c r="U36" i="4"/>
  <c r="V36" i="4" s="1"/>
  <c r="U38" i="4"/>
  <c r="V38" i="4" s="1"/>
  <c r="U33" i="4"/>
  <c r="V33" i="4" s="1"/>
  <c r="U42" i="4"/>
  <c r="V42" i="4" s="1"/>
  <c r="U34" i="4"/>
  <c r="V34" i="4" s="1"/>
  <c r="U39" i="4"/>
  <c r="V39" i="4" s="1"/>
  <c r="U40" i="4"/>
  <c r="V40" i="4" s="1"/>
  <c r="U35" i="4"/>
  <c r="V35" i="4" s="1"/>
  <c r="U32" i="4"/>
  <c r="U41" i="4"/>
  <c r="V41" i="4" s="1"/>
  <c r="U37" i="4"/>
  <c r="V37" i="4" s="1"/>
  <c r="Q8" i="4"/>
  <c r="U45" i="9"/>
  <c r="V45" i="9" s="1"/>
  <c r="U41" i="9"/>
  <c r="V41" i="9" s="1"/>
  <c r="U36" i="9"/>
  <c r="V36" i="9" s="1"/>
  <c r="U46" i="9"/>
  <c r="V46" i="9" s="1"/>
  <c r="U42" i="9"/>
  <c r="V42" i="9" s="1"/>
  <c r="U35" i="9"/>
  <c r="V35" i="9" s="1"/>
  <c r="U34" i="9"/>
  <c r="U43" i="9"/>
  <c r="V43" i="9" s="1"/>
  <c r="U44" i="9"/>
  <c r="V44" i="9" s="1"/>
  <c r="U37" i="9"/>
  <c r="V37" i="9" s="1"/>
  <c r="U39" i="16"/>
  <c r="V39" i="16" s="1"/>
  <c r="U32" i="16"/>
  <c r="U33" i="16"/>
  <c r="U35" i="16"/>
  <c r="V35" i="16" s="1"/>
  <c r="U42" i="16"/>
  <c r="V42" i="16" s="1"/>
  <c r="U36" i="16"/>
  <c r="V36" i="16" s="1"/>
  <c r="U41" i="16"/>
  <c r="V41" i="16" s="1"/>
  <c r="U40" i="16"/>
  <c r="V40" i="16" s="1"/>
  <c r="U38" i="16"/>
  <c r="V38" i="16" s="1"/>
  <c r="U34" i="16"/>
  <c r="V34" i="16" s="1"/>
  <c r="U37" i="16"/>
  <c r="V37" i="16" s="1"/>
  <c r="Q8" i="15"/>
  <c r="V40" i="12"/>
  <c r="V57" i="12" s="1"/>
  <c r="P62" i="22"/>
  <c r="S9" i="22"/>
  <c r="U9" i="22" s="1"/>
  <c r="U38" i="7"/>
  <c r="U41" i="7"/>
  <c r="U39" i="7"/>
  <c r="V39" i="7" s="1"/>
  <c r="U42" i="7"/>
  <c r="V42" i="7" s="1"/>
  <c r="U40" i="7"/>
  <c r="V40" i="7" s="1"/>
  <c r="U43" i="7"/>
  <c r="V43" i="7" s="1"/>
  <c r="P37" i="21"/>
  <c r="P40" i="21" s="1"/>
  <c r="Q8" i="9"/>
  <c r="Q16" i="9" s="1"/>
  <c r="P10" i="20" s="1"/>
  <c r="Q8" i="16"/>
  <c r="U54" i="15"/>
  <c r="V54" i="15" s="1"/>
  <c r="U51" i="15"/>
  <c r="V51" i="15" s="1"/>
  <c r="U53" i="15"/>
  <c r="V53" i="15" s="1"/>
  <c r="U48" i="15"/>
  <c r="V48" i="15" s="1"/>
  <c r="U44" i="15"/>
  <c r="V44" i="15" s="1"/>
  <c r="U50" i="15"/>
  <c r="V50" i="15" s="1"/>
  <c r="U43" i="15"/>
  <c r="U45" i="15"/>
  <c r="V45" i="15" s="1"/>
  <c r="U52" i="15"/>
  <c r="V52" i="15" s="1"/>
  <c r="U46" i="15"/>
  <c r="V46" i="15" s="1"/>
  <c r="U47" i="15"/>
  <c r="V47" i="15" s="1"/>
  <c r="T72" i="6"/>
  <c r="U58" i="6" s="1"/>
  <c r="V58" i="6" s="1"/>
  <c r="Q74" i="6"/>
  <c r="X14" i="6" s="1"/>
  <c r="Q52" i="5" l="1"/>
  <c r="P6" i="20" s="1"/>
  <c r="P7" i="22"/>
  <c r="S7" i="22" s="1"/>
  <c r="U7" i="22" s="1"/>
  <c r="X14" i="4"/>
  <c r="Q14" i="4"/>
  <c r="P5" i="20" s="1"/>
  <c r="U55" i="7"/>
  <c r="U48" i="9"/>
  <c r="P59" i="22"/>
  <c r="K19" i="20"/>
  <c r="Q26" i="18"/>
  <c r="N26" i="18"/>
  <c r="M19" i="20" s="1"/>
  <c r="S8" i="22"/>
  <c r="U8" i="22" s="1"/>
  <c r="U58" i="15"/>
  <c r="Q22" i="10"/>
  <c r="P11" i="20" s="1"/>
  <c r="P16" i="22"/>
  <c r="Q92" i="13"/>
  <c r="Q9" i="13" s="1"/>
  <c r="Q25" i="13" s="1"/>
  <c r="P14" i="20" s="1"/>
  <c r="P20" i="22"/>
  <c r="Q79" i="17"/>
  <c r="Q9" i="17" s="1"/>
  <c r="Q12" i="17" s="1"/>
  <c r="P18" i="20" s="1"/>
  <c r="P18" i="22"/>
  <c r="Q98" i="15"/>
  <c r="Q9" i="15" s="1"/>
  <c r="Q25" i="15" s="1"/>
  <c r="P16" i="20" s="1"/>
  <c r="M69" i="22"/>
  <c r="M77" i="22" s="1"/>
  <c r="M24" i="22"/>
  <c r="X13" i="17"/>
  <c r="Q81" i="19"/>
  <c r="Q9" i="19" s="1"/>
  <c r="Q12" i="19" s="1"/>
  <c r="P20" i="20" s="1"/>
  <c r="X14" i="19"/>
  <c r="P22" i="22"/>
  <c r="P66" i="22"/>
  <c r="S13" i="22"/>
  <c r="U13" i="22" s="1"/>
  <c r="P74" i="22"/>
  <c r="S21" i="22"/>
  <c r="U21" i="22" s="1"/>
  <c r="Q77" i="14"/>
  <c r="Q9" i="14" s="1"/>
  <c r="P17" i="22"/>
  <c r="X14" i="15"/>
  <c r="Q84" i="16"/>
  <c r="Q9" i="16" s="1"/>
  <c r="Q14" i="16" s="1"/>
  <c r="P17" i="20" s="1"/>
  <c r="P19" i="22"/>
  <c r="U52" i="13"/>
  <c r="V43" i="13"/>
  <c r="V52" i="13" s="1"/>
  <c r="U39" i="17"/>
  <c r="V30" i="17"/>
  <c r="V39" i="17" s="1"/>
  <c r="U55" i="10"/>
  <c r="V40" i="10"/>
  <c r="V55" i="10" s="1"/>
  <c r="V38" i="7"/>
  <c r="V32" i="4"/>
  <c r="V44" i="4" s="1"/>
  <c r="U44" i="4"/>
  <c r="V32" i="16"/>
  <c r="U44" i="16"/>
  <c r="X17" i="9"/>
  <c r="V41" i="7"/>
  <c r="V34" i="9"/>
  <c r="V48" i="9" s="1"/>
  <c r="U64" i="6"/>
  <c r="V64" i="6" s="1"/>
  <c r="U62" i="6"/>
  <c r="V62" i="6" s="1"/>
  <c r="U60" i="6"/>
  <c r="V60" i="6" s="1"/>
  <c r="U57" i="6"/>
  <c r="V57" i="6" s="1"/>
  <c r="U55" i="6"/>
  <c r="U65" i="6"/>
  <c r="V65" i="6" s="1"/>
  <c r="U61" i="6"/>
  <c r="V61" i="6" s="1"/>
  <c r="U56" i="6"/>
  <c r="V56" i="6" s="1"/>
  <c r="U59" i="6"/>
  <c r="V59" i="6" s="1"/>
  <c r="U63" i="6"/>
  <c r="V63" i="6" s="1"/>
  <c r="Q8" i="6"/>
  <c r="Q37" i="6" s="1"/>
  <c r="V43" i="15"/>
  <c r="V58" i="15" s="1"/>
  <c r="V33" i="16"/>
  <c r="V16" i="5" l="1"/>
  <c r="V55" i="7"/>
  <c r="P60" i="22"/>
  <c r="P19" i="20"/>
  <c r="X19" i="18"/>
  <c r="X22" i="18" s="1"/>
  <c r="X16" i="18"/>
  <c r="X18" i="17"/>
  <c r="P69" i="22"/>
  <c r="S16" i="22"/>
  <c r="P24" i="22"/>
  <c r="P70" i="22"/>
  <c r="S17" i="22"/>
  <c r="U17" i="22" s="1"/>
  <c r="P72" i="22"/>
  <c r="S19" i="22"/>
  <c r="U19" i="22" s="1"/>
  <c r="S18" i="22"/>
  <c r="U18" i="22" s="1"/>
  <c r="P71" i="22"/>
  <c r="P73" i="22"/>
  <c r="S20" i="22"/>
  <c r="U20" i="22" s="1"/>
  <c r="P75" i="22"/>
  <c r="S22" i="22"/>
  <c r="U22" i="22" s="1"/>
  <c r="V44" i="16"/>
  <c r="P7" i="20"/>
  <c r="U67" i="6"/>
  <c r="V55" i="6"/>
  <c r="V67" i="6" s="1"/>
  <c r="P77" i="22" l="1"/>
  <c r="U16" i="22"/>
  <c r="U24" i="22" s="1"/>
  <c r="S24" i="22"/>
  <c r="L44" i="14"/>
  <c r="L8" i="14" s="1"/>
  <c r="L12" i="14" s="1"/>
  <c r="N41" i="14"/>
  <c r="N44" i="14" l="1"/>
  <c r="N8" i="14" s="1"/>
  <c r="N12" i="14" s="1"/>
  <c r="M15" i="20" s="1"/>
  <c r="M22" i="20" s="1"/>
  <c r="M23" i="20" s="1"/>
  <c r="Q41" i="14"/>
  <c r="K15" i="20"/>
  <c r="K22" i="20" s="1"/>
  <c r="K23" i="20" s="1"/>
  <c r="M13" i="14"/>
  <c r="R15" i="20" s="1"/>
  <c r="L24" i="20" l="1"/>
  <c r="R23" i="20" s="1"/>
  <c r="Q44" i="14"/>
  <c r="X11" i="14"/>
  <c r="T42" i="14"/>
  <c r="U33" i="14" l="1"/>
  <c r="V33" i="14" s="1"/>
  <c r="U30" i="14"/>
  <c r="U35" i="14"/>
  <c r="V35" i="14" s="1"/>
  <c r="U32" i="14"/>
  <c r="V32" i="14" s="1"/>
  <c r="U31" i="14"/>
  <c r="V31" i="14" s="1"/>
  <c r="U34" i="14"/>
  <c r="V34" i="14" s="1"/>
  <c r="X14" i="14"/>
  <c r="Q8" i="14"/>
  <c r="Q12" i="14" s="1"/>
  <c r="P15" i="20" s="1"/>
  <c r="V30" i="14" l="1"/>
  <c r="V37" i="14" s="1"/>
  <c r="U37" i="14"/>
  <c r="Q47" i="3" l="1"/>
  <c r="Q8" i="3" s="1"/>
  <c r="Q15" i="3" s="1"/>
  <c r="P4" i="20" s="1"/>
  <c r="P22" i="20" s="1"/>
  <c r="P23" i="20" s="1"/>
  <c r="T45" i="3"/>
  <c r="U35" i="3" s="1"/>
  <c r="V35" i="3" s="1"/>
  <c r="X11" i="3"/>
  <c r="U33" i="3" l="1"/>
  <c r="U37" i="3"/>
  <c r="V37" i="3" s="1"/>
  <c r="U36" i="3"/>
  <c r="V36" i="3" s="1"/>
  <c r="U38" i="3"/>
  <c r="V38" i="3" s="1"/>
  <c r="U34" i="3"/>
  <c r="V34" i="3" s="1"/>
  <c r="V33" i="3" l="1"/>
  <c r="V40" i="3" s="1"/>
  <c r="U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Kelly S. Langley</author>
    <author>Heidi Rose</author>
    <author>Department of Taxation</author>
    <author>tc={0FE89CAA-FF44-4467-9C70-B7D0E9208B9D}</author>
  </authors>
  <commentList>
    <comment ref="B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 Update fiscal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" authorId="1" shapeId="0" xr:uid="{51CD6085-C64F-40B8-A916-00BCFF593E50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19" authorId="2" shapeId="0" xr:uid="{00000000-0006-0000-0200-000002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3" shapeId="0" xr:uid="{00000000-0006-0000-0200-000004000000}">
      <text>
        <r>
          <rPr>
            <sz val="8"/>
            <color indexed="81"/>
            <rFont val="Tahoma"/>
            <family val="2"/>
          </rPr>
          <t xml:space="preserve">Includes $107,093,061 of incremental value
</t>
        </r>
      </text>
    </comment>
    <comment ref="B132" authorId="4" shapeId="0" xr:uid="{0FE89CAA-FF44-4467-9C70-B7D0E9208B9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information comes from the Final Rev. Proj page A-1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CB053D79-4097-475F-AB88-E1248980EA52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26" authorId="1" shapeId="0" xr:uid="{00000000-0006-0000-0B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2" shapeId="0" xr:uid="{00000000-0006-0000-0B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0415AC78-FB6A-4E0A-979E-A14E87D8B095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29" authorId="1" shapeId="0" xr:uid="{00000000-0006-0000-0C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2" shapeId="0" xr:uid="{00000000-0006-0000-0C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D940CE06-5734-477D-918A-69582750994A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16" authorId="1" shapeId="0" xr:uid="{00000000-0006-0000-0D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2" shapeId="0" xr:uid="{00000000-0006-0000-0D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7" authorId="1" shapeId="0" xr:uid="{B8D80483-D4AD-4F8E-B6F5-618C52C995E4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C4D03D96-16B4-4719-BC78-B1CD103DB74A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29" authorId="1" shapeId="0" xr:uid="{00000000-0006-0000-0E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2" shapeId="0" xr:uid="{00000000-0006-0000-0E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1" shapeId="0" xr:uid="{C5567937-2645-4BCF-8413-B8453F24929B}">
      <text>
        <r>
          <rPr>
            <b/>
            <sz val="9"/>
            <color indexed="81"/>
            <rFont val="Tahoma"/>
            <family val="2"/>
          </rPr>
          <t>Input MA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" authorId="1" shapeId="0" xr:uid="{6D90EC5D-8C6D-4F24-BBDC-FC87AAA7B12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0" authorId="1" shapeId="0" xr:uid="{5702C114-2454-4FC5-AC47-38BBCD258526}">
      <text>
        <r>
          <rPr>
            <b/>
            <sz val="9"/>
            <color indexed="81"/>
            <rFont val="Tahoma"/>
            <family val="2"/>
          </rPr>
          <t>Input MA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D6DFB7AA-640D-4D3D-988F-BA846BDF3491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18" authorId="1" shapeId="0" xr:uid="{00000000-0006-0000-0F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2" shapeId="0" xr:uid="{00000000-0006-0000-0F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2" authorId="0" shapeId="0" xr:uid="{C23E79BA-7DE0-42D6-A22F-907FF06F18A7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3/11-Called Lacey to inquire about difference $54.75 in General Co.
Not Redev or Renewable?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6B2E27E1-4B99-4F11-8046-9D1C59B0F807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16" authorId="1" shapeId="0" xr:uid="{00000000-0006-0000-10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7" authorId="0" shapeId="0" xr:uid="{6DDEDBF2-3F74-4142-B3A8-64A9C9CC9A21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Insert value from Abatement TAB
for State</t>
        </r>
      </text>
    </comment>
    <comment ref="E18" authorId="2" shapeId="0" xr:uid="{00000000-0006-0000-10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0" authorId="0" shapeId="0" xr:uid="{F0E0715D-9B36-40CB-90EB-D66EE0BECB67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Insert abatement from LEED Abatement Impact TAB</t>
        </r>
      </text>
    </comment>
    <comment ref="E38" authorId="1" shapeId="0" xr:uid="{F9632A59-06A2-47D4-BED9-7395A2CBD936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" authorId="1" shapeId="0" xr:uid="{C4A9B7E7-A348-4CD4-8216-707E125CC28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9" authorId="1" shapeId="0" xr:uid="{23904ED0-8FB0-4226-950E-3898BDC1465E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3" authorId="1" shapeId="0" xr:uid="{76DE9C65-0100-4BE2-A23A-31DB6486DC84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5" authorId="2" shapeId="0" xr:uid="{00000000-0006-0000-1000-000003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Department of Taxation</author>
    <author>Heidi Rose</author>
    <author xml:space="preserve"> </author>
    <author>Administrator</author>
  </authors>
  <commentList>
    <comment ref="B7" authorId="0" shapeId="0" xr:uid="{CF0EE4B2-4669-4D4C-BC22-3149098044FF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J29" authorId="1" shapeId="0" xr:uid="{2502700F-FD91-45D6-B191-B0DEA6B07AD3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" authorId="2" shapeId="0" xr:uid="{00000000-0006-0000-1100-000002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1" shapeId="0" xr:uid="{00000000-0006-0000-1100-000003000000}">
      <text>
        <r>
          <rPr>
            <sz val="8"/>
            <color indexed="81"/>
            <rFont val="Tahoma"/>
            <family val="2"/>
          </rPr>
          <t xml:space="preserve">Includes exempt value
</t>
        </r>
      </text>
    </comment>
    <comment ref="E32" authorId="3" shapeId="0" xr:uid="{00000000-0006-0000-1100-000004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3" authorId="4" shapeId="0" xr:uid="{A0612749-EFBB-4D80-9061-87B274ADF9D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Voter Approved override didn't get approved.  Now increased youth services
</t>
        </r>
      </text>
    </comment>
    <comment ref="J58" authorId="1" shapeId="0" xr:uid="{00000000-0006-0000-1100-000005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7" authorId="1" shapeId="0" xr:uid="{00000000-0006-0000-1100-000006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3" authorId="1" shapeId="0" xr:uid="{00000000-0006-0000-1100-000007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5" authorId="1" shapeId="0" xr:uid="{00000000-0006-0000-1100-000008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27" authorId="1" shapeId="0" xr:uid="{00000000-0006-0000-1100-000009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1" authorId="1" shapeId="0" xr:uid="{00000000-0006-0000-1100-00000A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63" authorId="1" shapeId="0" xr:uid="{00000000-0006-0000-1100-00000B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4" authorId="4" shapeId="0" xr:uid="{23A4214F-77FA-46A0-897A-ED504D431EE1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Get values from the ProForma by TIF Formatted file from Washoe Co.
</t>
        </r>
      </text>
    </comment>
    <comment ref="J175" authorId="1" shapeId="0" xr:uid="{00000000-0006-0000-1100-00000C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6" authorId="1" shapeId="0" xr:uid="{6D0BC156-C8BF-4D61-9A52-3DF6E2D41EA3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7" authorId="1" shapeId="0" xr:uid="{467F1100-099D-4F0E-BB67-B3D764B8C518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7" authorId="1" shapeId="0" xr:uid="{00000000-0006-0000-1100-00000D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9" authorId="1" shapeId="0" xr:uid="{00000000-0006-0000-1100-00000E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11" authorId="1" shapeId="0" xr:uid="{00000000-0006-0000-1100-00000F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23" authorId="1" shapeId="0" xr:uid="{00000000-0006-0000-1100-000010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35" authorId="1" shapeId="0" xr:uid="{00000000-0006-0000-1100-000011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47" authorId="1" shapeId="0" xr:uid="{00000000-0006-0000-1100-000012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59" authorId="1" shapeId="0" xr:uid="{00000000-0006-0000-1100-000013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71" authorId="1" shapeId="0" xr:uid="{00000000-0006-0000-1100-000014000000}">
      <text>
        <r>
          <rPr>
            <b/>
            <sz val="8"/>
            <color indexed="81"/>
            <rFont val="Tahoma"/>
            <family val="2"/>
          </rPr>
          <t>Department of Taxation: Exempt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9" authorId="4" shapeId="0" xr:uid="{89DA8B9D-AA4E-4ECC-8AE6-5F531951FC99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This is Q44 above, AB104 Fair Share.  </t>
        </r>
      </text>
    </comment>
    <comment ref="D293" authorId="4" shapeId="0" xr:uid="{78B2407A-0EAF-4EAE-9D99-D3C30363BC36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This amount is copied from prior year.  Once input the revenue will calculate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FB2D9673-65D0-470F-91AD-568BDC1C2D18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16" authorId="1" shapeId="0" xr:uid="{00000000-0006-0000-12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2" shapeId="0" xr:uid="{00000000-0006-0000-12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1" shapeId="0" xr:uid="{D9E740B1-4EF2-4935-9D6E-941A8989BEDE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9" authorId="1" shapeId="0" xr:uid="{CAD27615-C068-48B8-B608-0C035A3A574F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1" authorId="1" shapeId="0" xr:uid="{65D6EDBE-DE52-4F25-A398-2051CD441B99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5" authorId="1" shapeId="0" xr:uid="{CDFDC81D-200D-434F-8D9C-BD40D6664EE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Taxation</author>
  </authors>
  <commentList>
    <comment ref="P6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Department of Taxation:</t>
        </r>
        <r>
          <rPr>
            <sz val="8"/>
            <color indexed="81"/>
            <rFont val="Tahoma"/>
            <family val="2"/>
          </rPr>
          <t xml:space="preserve">
Net Tax l</t>
        </r>
        <r>
          <rPr>
            <b/>
            <sz val="8"/>
            <color indexed="81"/>
            <rFont val="Tahoma"/>
            <family val="2"/>
          </rPr>
          <t>ess</t>
        </r>
        <r>
          <rPr>
            <sz val="8"/>
            <color indexed="81"/>
            <rFont val="Tahoma"/>
            <family val="2"/>
          </rPr>
          <t xml:space="preserve"> redevelopment </t>
        </r>
        <r>
          <rPr>
            <b/>
            <sz val="8"/>
            <color indexed="81"/>
            <rFont val="Tahoma"/>
            <family val="2"/>
          </rPr>
          <t>plus</t>
        </r>
        <r>
          <rPr>
            <sz val="8"/>
            <color indexed="81"/>
            <rFont val="Tahoma"/>
            <family val="2"/>
          </rPr>
          <t xml:space="preserve"> personal property on secured roll</t>
        </r>
      </text>
    </comment>
    <comment ref="R6" authorId="0" shapeId="0" xr:uid="{FBD3CFF1-308B-467A-8F45-2FBDCABDF78C}">
      <text>
        <r>
          <rPr>
            <b/>
            <sz val="8"/>
            <color indexed="81"/>
            <rFont val="Tahoma"/>
            <family val="2"/>
          </rPr>
          <t>Department of Taxation:</t>
        </r>
        <r>
          <rPr>
            <sz val="8"/>
            <color indexed="81"/>
            <rFont val="Tahoma"/>
            <family val="2"/>
          </rPr>
          <t xml:space="preserve">
Net Tax l</t>
        </r>
        <r>
          <rPr>
            <b/>
            <sz val="8"/>
            <color indexed="81"/>
            <rFont val="Tahoma"/>
            <family val="2"/>
          </rPr>
          <t>ess</t>
        </r>
        <r>
          <rPr>
            <sz val="8"/>
            <color indexed="81"/>
            <rFont val="Tahoma"/>
            <family val="2"/>
          </rPr>
          <t xml:space="preserve"> redevelopment </t>
        </r>
        <r>
          <rPr>
            <b/>
            <sz val="8"/>
            <color indexed="81"/>
            <rFont val="Tahoma"/>
            <family val="2"/>
          </rPr>
          <t>plus</t>
        </r>
        <r>
          <rPr>
            <sz val="8"/>
            <color indexed="81"/>
            <rFont val="Tahoma"/>
            <family val="2"/>
          </rPr>
          <t xml:space="preserve"> personal property on secured roll</t>
        </r>
      </text>
    </comment>
    <comment ref="P30" authorId="0" shapeId="0" xr:uid="{7FCF8A43-8DCA-4A60-A467-1656081EFC97}">
      <text>
        <r>
          <rPr>
            <b/>
            <sz val="8"/>
            <color indexed="81"/>
            <rFont val="Tahoma"/>
            <family val="2"/>
          </rPr>
          <t>Department of Taxation:</t>
        </r>
        <r>
          <rPr>
            <sz val="8"/>
            <color indexed="81"/>
            <rFont val="Tahoma"/>
            <family val="2"/>
          </rPr>
          <t xml:space="preserve">
Net Tax l</t>
        </r>
        <r>
          <rPr>
            <b/>
            <sz val="8"/>
            <color indexed="81"/>
            <rFont val="Tahoma"/>
            <family val="2"/>
          </rPr>
          <t>ess</t>
        </r>
        <r>
          <rPr>
            <sz val="8"/>
            <color indexed="81"/>
            <rFont val="Tahoma"/>
            <family val="2"/>
          </rPr>
          <t xml:space="preserve"> redevelopment </t>
        </r>
        <r>
          <rPr>
            <b/>
            <sz val="8"/>
            <color indexed="81"/>
            <rFont val="Tahoma"/>
            <family val="2"/>
          </rPr>
          <t>plus</t>
        </r>
        <r>
          <rPr>
            <sz val="8"/>
            <color indexed="81"/>
            <rFont val="Tahoma"/>
            <family val="2"/>
          </rPr>
          <t xml:space="preserve"> personal property on secured roll</t>
        </r>
      </text>
    </comment>
    <comment ref="R30" authorId="0" shapeId="0" xr:uid="{CAF3CA17-A977-4BF8-86CC-699764EFA589}">
      <text>
        <r>
          <rPr>
            <b/>
            <sz val="8"/>
            <color indexed="81"/>
            <rFont val="Tahoma"/>
            <family val="2"/>
          </rPr>
          <t>Department of Taxation:</t>
        </r>
        <r>
          <rPr>
            <sz val="8"/>
            <color indexed="81"/>
            <rFont val="Tahoma"/>
            <family val="2"/>
          </rPr>
          <t xml:space="preserve">
Net Tax l</t>
        </r>
        <r>
          <rPr>
            <b/>
            <sz val="8"/>
            <color indexed="81"/>
            <rFont val="Tahoma"/>
            <family val="2"/>
          </rPr>
          <t>ess</t>
        </r>
        <r>
          <rPr>
            <sz val="8"/>
            <color indexed="81"/>
            <rFont val="Tahoma"/>
            <family val="2"/>
          </rPr>
          <t xml:space="preserve"> redevelopment </t>
        </r>
        <r>
          <rPr>
            <b/>
            <sz val="8"/>
            <color indexed="81"/>
            <rFont val="Tahoma"/>
            <family val="2"/>
          </rPr>
          <t>plus</t>
        </r>
        <r>
          <rPr>
            <sz val="8"/>
            <color indexed="81"/>
            <rFont val="Tahoma"/>
            <family val="2"/>
          </rPr>
          <t xml:space="preserve"> personal property on secured roll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</authors>
  <commentList>
    <comment ref="T4" authorId="0" shapeId="0" xr:uid="{13F12A95-4A57-4009-93CE-A94C7FFA190D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We should have better NPM Numbers by Friday 4/17/20</t>
        </r>
      </text>
    </comment>
    <comment ref="V4" authorId="0" shapeId="0" xr:uid="{142669FA-59A1-4BCE-BAC4-5BB592E57C5F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This information comes from Matt. Received 6/1/20 rptNPM_Royalties_disburse_County_District_school Detail_one_yr
</t>
        </r>
      </text>
    </comment>
    <comment ref="W4" authorId="0" shapeId="0" xr:uid="{B037142C-BF58-434E-BB8A-DB5AA9458B8A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This information comes from Matt. Received 6/1/20 rptNPM_Royalties_disburse_County_District_school Detail_one_yr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8CCF2565-2832-4967-A941-DD85315535A7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18" authorId="1" shapeId="0" xr:uid="{00000000-0006-0000-03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2" shapeId="0" xr:uid="{00000000-0006-0000-03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  <author>Department of Taxation</author>
    <author>tc={E4DA19BE-49F5-4C41-9DE8-C2132CA6EEEE}</author>
  </authors>
  <commentList>
    <comment ref="B7" authorId="0" shapeId="0" xr:uid="{42A45075-906A-424F-9D9C-BCC1ADA6E704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58" authorId="1" shapeId="0" xr:uid="{00000000-0006-0000-04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`</t>
        </r>
      </text>
    </comment>
    <comment ref="E60" authorId="2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2" authorId="3" shapeId="0" xr:uid="{00000000-0006-0000-0400-000003000000}">
      <text>
        <r>
          <rPr>
            <sz val="8"/>
            <color indexed="81"/>
            <rFont val="Tahoma"/>
            <family val="2"/>
          </rPr>
          <t xml:space="preserve">Value exempted
</t>
        </r>
      </text>
    </comment>
    <comment ref="A623" authorId="4" shapeId="0" xr:uid="{E4DA19BE-49F5-4C41-9DE8-C2132CA6EEE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information comes from FY Value Report provided by CL Treasurer (separate rpt providedWith ProForma in PDFs)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  <author>Department of Taxation</author>
    <author>tc={50F670DB-A509-4DA7-BE71-5A3DB1C053A3}</author>
    <author>Penny Hampton</author>
  </authors>
  <commentList>
    <comment ref="B7" authorId="0" shapeId="0" xr:uid="{9820FE23-C0D3-44EF-A697-3BAA73A8EAAF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41" authorId="1" shapeId="0" xr:uid="{00000000-0006-0000-05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2" shapeId="0" xr:uid="{00000000-0006-0000-05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3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Includes 89,151,374 for RDA
</t>
        </r>
      </text>
    </comment>
    <comment ref="A350" authorId="4" shapeId="0" xr:uid="{50F670DB-A509-4DA7-BE71-5A3DB1C053A3}">
      <text>
        <t>[Threaded comment]
Your version of Excel allows you to read this threaded comment; however, any edits to it will get removed if the file is opened in a newer version of Excel. Learn more: https://go.microsoft.com/fwlink/?linkid=870924
Comment:
    Ask Penny to review this one?  Totalled by me</t>
      </text>
    </comment>
    <comment ref="F352" authorId="5" shapeId="0" xr:uid="{F728C2C0-9F36-4B14-A1EF-A04BC8674E1D}">
      <text>
        <r>
          <rPr>
            <b/>
            <sz val="9"/>
            <color indexed="81"/>
            <rFont val="Tahoma"/>
            <family val="2"/>
          </rPr>
          <t>Penny Hampton:</t>
        </r>
        <r>
          <rPr>
            <sz val="9"/>
            <color indexed="81"/>
            <rFont val="Tahoma"/>
            <family val="2"/>
          </rPr>
          <t xml:space="preserve">
Includes 297,079.16 in RDA incremental value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  <author>Administrator</author>
  </authors>
  <commentList>
    <comment ref="B7" authorId="0" shapeId="0" xr:uid="{65A9A4A7-FC0B-4CC3-A25E-AF5292FFFB41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H7" authorId="0" shapeId="0" xr:uid="{DA8D9416-854A-41E9-B050-1218945671BA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24" authorId="1" shapeId="0" xr:uid="{00000000-0006-0000-06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" authorId="2" shapeId="0" xr:uid="{00000000-0006-0000-06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" authorId="1" shapeId="0" xr:uid="{E11044A5-FB8A-4075-BD66-80C222AD25C6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0" authorId="3" shapeId="0" xr:uid="{46E2DFA9-9189-4A8C-A233-959C9D2DF4A9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Taken from the 3/20/26 SEG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7DAD59BB-11DB-4775-8765-45FD358F7BD7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15" authorId="1" shapeId="0" xr:uid="{00000000-0006-0000-07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2" shapeId="0" xr:uid="{00000000-0006-0000-07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1267476E-EE0B-4D29-9895-87EAF37662A3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20" authorId="1" shapeId="0" xr:uid="{00000000-0006-0000-08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2" shapeId="0" xr:uid="{00000000-0006-0000-08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CEAEDAC1-F8CC-4A1F-B215-4182C1E1ADC1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26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S. Langley</author>
    <author>Heidi Rose</author>
    <author xml:space="preserve"> </author>
  </authors>
  <commentList>
    <comment ref="B7" authorId="0" shapeId="0" xr:uid="{802B78F9-75C2-4757-A2AC-F4973D4309EA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Please review and confirm RATES and County Allocations</t>
        </r>
      </text>
    </comment>
    <comment ref="E19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Input PA here this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2" shapeId="0" xr:uid="{00000000-0006-0000-0A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Assessor Report - Column 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" authorId="0" shapeId="0" xr:uid="{77830120-D304-4026-B835-1189D60053E4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1" authorId="0" shapeId="0" xr:uid="{7E8E2209-B418-4185-851C-49F3DD4520A3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Austin Town + Sewer &amp; Water - added</t>
        </r>
      </text>
    </comment>
    <comment ref="C91" authorId="0" shapeId="0" xr:uid="{F9B12856-F3F2-483A-A61B-96DB385C9B2C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ask if they should all be the total of or .2890 or should we show them separately?
</t>
        </r>
      </text>
    </comment>
    <comment ref="H91" authorId="0" shapeId="0" xr:uid="{541460A6-DD01-4571-B03B-38210699C67D}">
      <text>
        <r>
          <rPr>
            <b/>
            <sz val="9"/>
            <color indexed="81"/>
            <rFont val="Tahoma"/>
            <family val="2"/>
          </rPr>
          <t>Kelly S. Langley:</t>
        </r>
        <r>
          <rPr>
            <sz val="9"/>
            <color indexed="81"/>
            <rFont val="Tahoma"/>
            <family val="2"/>
          </rPr>
          <t xml:space="preserve">
includes Austin Town and Sewer &amp; Water combined from treasurers proforma
</t>
        </r>
      </text>
    </comment>
  </commentList>
</comments>
</file>

<file path=xl/sharedStrings.xml><?xml version="1.0" encoding="utf-8"?>
<sst xmlns="http://schemas.openxmlformats.org/spreadsheetml/2006/main" count="3439" uniqueCount="578">
  <si>
    <t>CARSON CITY</t>
  </si>
  <si>
    <t>TAX_ENTITY</t>
  </si>
  <si>
    <t xml:space="preserve">PARCEL COUNT         </t>
  </si>
  <si>
    <t xml:space="preserve">TAX ON NEW PROPERTY           </t>
  </si>
  <si>
    <t xml:space="preserve">CAP-SUBJECT TAX ON EXISTING PROPERTY             </t>
  </si>
  <si>
    <t xml:space="preserve">CAP-EXEMPT TAX ON EXISTING PROPERTY         </t>
  </si>
  <si>
    <t xml:space="preserve">EXEMPTIONS            </t>
  </si>
  <si>
    <t xml:space="preserve">RECAPTURE AMOUNT     </t>
  </si>
  <si>
    <t xml:space="preserve">ABATEMENT AMOUNT         </t>
  </si>
  <si>
    <t xml:space="preserve">REDEVELOP          </t>
  </si>
  <si>
    <t>ALL ENTITIES</t>
  </si>
  <si>
    <t>STATE OF NEVADA</t>
  </si>
  <si>
    <t>GENERAL COUNTY</t>
  </si>
  <si>
    <t>SCHOOL DISTRICT</t>
  </si>
  <si>
    <t>TOTAL COUNTY</t>
  </si>
  <si>
    <t>Existing Secured</t>
  </si>
  <si>
    <t>New Property</t>
  </si>
  <si>
    <t>Existing Unsecured</t>
  </si>
  <si>
    <t>Centrally Assessed</t>
  </si>
  <si>
    <t>Secured</t>
  </si>
  <si>
    <t>Unsecured</t>
  </si>
  <si>
    <t>TOTAL STATE OF NV</t>
  </si>
  <si>
    <t>City Operating</t>
  </si>
  <si>
    <t>Cooperate Extension</t>
  </si>
  <si>
    <t>Senior Citizen</t>
  </si>
  <si>
    <t>State Medical Indigent</t>
  </si>
  <si>
    <t>GENERAL TOTAL</t>
  </si>
  <si>
    <t>TOTAL GENERAL COUNTY</t>
  </si>
  <si>
    <t>March Assessors Report:</t>
  </si>
  <si>
    <t>New secured</t>
  </si>
  <si>
    <t>Difference</t>
  </si>
  <si>
    <t>TOTAL SCHOOL OPERATING</t>
  </si>
  <si>
    <t>SCHOOL DEBT</t>
  </si>
  <si>
    <t>TOTAL SCHOOL DEBT</t>
  </si>
  <si>
    <t>TOTAL SCHOOL DISTRICT</t>
  </si>
  <si>
    <t>EAGLE VALLEY UNDERGROUND WATER BASIN</t>
  </si>
  <si>
    <t>CARSON WATER SUBCONSERVANCY DISTRICT</t>
  </si>
  <si>
    <t>CARSON VALLEY UNDERGROUND WATER BASIN</t>
  </si>
  <si>
    <t>SIERRA FOREST FIRE PROTECTION DISTRICT</t>
  </si>
  <si>
    <t>DOUGLAS COUNTY</t>
  </si>
  <si>
    <t>CARSON WATER SUBCONSERVANCY</t>
  </si>
  <si>
    <t>CAVE ROCK ESTATES GID</t>
  </si>
  <si>
    <t>DOUGLAS COUNTY MOSQUITO ABATEMENT</t>
  </si>
  <si>
    <t xml:space="preserve">DOUGLAS COUNTY REDEVELOPMENT </t>
  </si>
  <si>
    <t>EAST FORK FIRE PROTECTION DISTRICT</t>
  </si>
  <si>
    <t>EAST FORK PARAMEDIC DISTRICT</t>
  </si>
  <si>
    <t>EAST FORK SWIMMING POOL DISTRICT</t>
  </si>
  <si>
    <t>ELK POINT SANITATION DISTRICT</t>
  </si>
  <si>
    <t>GARDNERVILLE RANCHOS GID</t>
  </si>
  <si>
    <t>INDIAN HILLS GID</t>
  </si>
  <si>
    <t>KINGSBURY GID</t>
  </si>
  <si>
    <t>LAKERIDGE GID</t>
  </si>
  <si>
    <t>LOGAN CREEK GID</t>
  </si>
  <si>
    <t>MINDEN-GARDNERVILLE SANITATION</t>
  </si>
  <si>
    <t>OLIVER PARK</t>
  </si>
  <si>
    <t>SKYLAND GID</t>
  </si>
  <si>
    <t>TAHOE-DOUGLAS SEWER DISTRICT</t>
  </si>
  <si>
    <t>TOPAZ RANCH ESTATES GID</t>
  </si>
  <si>
    <t>ZEPHYR COVE GID</t>
  </si>
  <si>
    <t>ZEPHYR HEIGHTS</t>
  </si>
  <si>
    <t>ZEPHYR KNOLLS</t>
  </si>
  <si>
    <t>General Fund</t>
  </si>
  <si>
    <t>State Medical Assist Indigent</t>
  </si>
  <si>
    <t>Self Insurance</t>
  </si>
  <si>
    <t>Emergency 911</t>
  </si>
  <si>
    <t>Capital Improvement</t>
  </si>
  <si>
    <t>Social Services</t>
  </si>
  <si>
    <t>China Spring</t>
  </si>
  <si>
    <t>State MV Accident Indigent</t>
  </si>
  <si>
    <t>Agriculture Extension</t>
  </si>
  <si>
    <t>Western NV Regional Youth Center</t>
  </si>
  <si>
    <t>GARDNERVILLE TOWN</t>
  </si>
  <si>
    <t>GENOA TOWN</t>
  </si>
  <si>
    <t>MINDEN TOWN</t>
  </si>
  <si>
    <t>DOUGLAS COUNTY REDEVELOPMENT AGENCY</t>
  </si>
  <si>
    <t>TOTAL DC REDEVELOPMENT</t>
  </si>
  <si>
    <t>TAHOE-DOUGLAS FIRE PROTECTION DISTRICT</t>
  </si>
  <si>
    <t>NOTE:</t>
  </si>
  <si>
    <t>ELKO COUNTY</t>
  </si>
  <si>
    <t>CITY OF CARLIN</t>
  </si>
  <si>
    <t>CITY OF ELKO</t>
  </si>
  <si>
    <t>CITY OF WELLS</t>
  </si>
  <si>
    <t>CITY OF WEST WENDOVER</t>
  </si>
  <si>
    <t>ELKO CONVENTION &amp; VISITORS AUTHORITY</t>
  </si>
  <si>
    <t>ELKO TELEVISION DISTRICT</t>
  </si>
  <si>
    <t>General Co.</t>
  </si>
  <si>
    <t>Gen Indigent</t>
  </si>
  <si>
    <t>Extension</t>
  </si>
  <si>
    <t>Library</t>
  </si>
  <si>
    <t>Juvenile Prob</t>
  </si>
  <si>
    <t>Sr Citizen Sv</t>
  </si>
  <si>
    <t>Jail Operatns</t>
  </si>
  <si>
    <t>Med Indigent</t>
  </si>
  <si>
    <t>Fair Board Im</t>
  </si>
  <si>
    <t>Hosp Indigent</t>
  </si>
  <si>
    <t>Youth Service</t>
  </si>
  <si>
    <t>Museum</t>
  </si>
  <si>
    <t>JACKPOT TOWN</t>
  </si>
  <si>
    <t>MONTELLO TOWN</t>
  </si>
  <si>
    <t>MOUNTAIN CITY TOWN</t>
  </si>
  <si>
    <t>ESMERALDA COUNTY</t>
  </si>
  <si>
    <t>State Indigent</t>
  </si>
  <si>
    <t>County Medical Assistance</t>
  </si>
  <si>
    <t>Youth Services</t>
  </si>
  <si>
    <t>Note:</t>
  </si>
  <si>
    <t>EUREKA COUNTY</t>
  </si>
  <si>
    <t>CRESCENT VALLEY TOWN</t>
  </si>
  <si>
    <t>EUREKA TOWN</t>
  </si>
  <si>
    <t>DIAMOND VALLEY RODENT CONTROL DISTRICT</t>
  </si>
  <si>
    <t>DIAMOND VALLEY WEED CONTROL DISTRICT</t>
  </si>
  <si>
    <t>Road Fund</t>
  </si>
  <si>
    <t>Agr Ext Fund</t>
  </si>
  <si>
    <t>Cap Imprvment</t>
  </si>
  <si>
    <t>St Indigent</t>
  </si>
  <si>
    <t>Co Indigent</t>
  </si>
  <si>
    <t>Hospital Indg</t>
  </si>
  <si>
    <t>Landfill Fund</t>
  </si>
  <si>
    <t>EUREKA COUNTY TV DISTRICT</t>
  </si>
  <si>
    <t>HUMBOLDT COUNTY</t>
  </si>
  <si>
    <t>CITY OF WINNEMUCCA</t>
  </si>
  <si>
    <t>GOLCONDA FIRE PROTECTION DISTRICT</t>
  </si>
  <si>
    <t>HUMBOLDT COUNTY FIRE DISTRICT</t>
  </si>
  <si>
    <t>HUMBOLDT COUNTY HOSPITAL DISTRICT</t>
  </si>
  <si>
    <t>KINGS RIVER GID</t>
  </si>
  <si>
    <t>MCDERMITT FIRE PROTECTION DISTRICT</t>
  </si>
  <si>
    <t>OROVADA COMMUNITY SERVICES DISTRICT</t>
  </si>
  <si>
    <t>OROVADA FIRE PROTECTION DISTRICT</t>
  </si>
  <si>
    <t>PARADISE VALLEY FIRE DISTRICT</t>
  </si>
  <si>
    <t>PUEBLO FIRE PROTECTION DISTRICT</t>
  </si>
  <si>
    <t>WINNEMUCCA RURAL FIRE PROTECTION DISTRICT</t>
  </si>
  <si>
    <t>Senior Citizens</t>
  </si>
  <si>
    <t>Indigent Fund</t>
  </si>
  <si>
    <t>State Accident Indigent</t>
  </si>
  <si>
    <t>Building Reserve</t>
  </si>
  <si>
    <t>Cooperative Extension</t>
  </si>
  <si>
    <t>6th Judicial</t>
  </si>
  <si>
    <t>Capital Projects</t>
  </si>
  <si>
    <t>Medical Indigent</t>
  </si>
  <si>
    <t>China Springs</t>
  </si>
  <si>
    <t>WMCA Events</t>
  </si>
  <si>
    <t>LANDER COUNTY</t>
  </si>
  <si>
    <t>AUSTIN TOWN</t>
  </si>
  <si>
    <t>BATTLE MOUNTAIN TOWN</t>
  </si>
  <si>
    <t>KINGSTON TOWN</t>
  </si>
  <si>
    <t>LANDER CO HOSPITAL DISTRICT</t>
  </si>
  <si>
    <t>General</t>
  </si>
  <si>
    <t>Road &amp; Bridge</t>
  </si>
  <si>
    <t>Indigent</t>
  </si>
  <si>
    <t>St Med Indgnt</t>
  </si>
  <si>
    <t>Ag Extension</t>
  </si>
  <si>
    <t>State Indgnt</t>
  </si>
  <si>
    <t>Cap Acquistn</t>
  </si>
  <si>
    <t>Aging Service</t>
  </si>
  <si>
    <t>L C Airports</t>
  </si>
  <si>
    <t>Culture &amp; Rec</t>
  </si>
  <si>
    <t>Landfill</t>
  </si>
  <si>
    <t>LINCOLN COUNTY</t>
  </si>
  <si>
    <t>CITY OF CALIENTE</t>
  </si>
  <si>
    <t>ALAMO TOWN</t>
  </si>
  <si>
    <t>PANACA TOWN</t>
  </si>
  <si>
    <t>PIOCHE TOWN</t>
  </si>
  <si>
    <t>LINCOLN CO HOSPITAL DISTRICT</t>
  </si>
  <si>
    <t>PAHRANAGAT VALLEY FIRE DISTRICT</t>
  </si>
  <si>
    <t>PIOCHE FIRE PROTECTION DISTRICT</t>
  </si>
  <si>
    <t>Cap Projects</t>
  </si>
  <si>
    <t>St Acc Ind</t>
  </si>
  <si>
    <t>Spec Indgt</t>
  </si>
  <si>
    <t>Alamo Cap Prj</t>
  </si>
  <si>
    <t>Panaca Cap Pj</t>
  </si>
  <si>
    <t>Pioche Cap Pr</t>
  </si>
  <si>
    <t>Caliente Cap</t>
  </si>
  <si>
    <t>China Sprgs</t>
  </si>
  <si>
    <t>Alamo Clinic</t>
  </si>
  <si>
    <t>Nutrition</t>
  </si>
  <si>
    <t>LYON COUNTY</t>
  </si>
  <si>
    <t>CITY OF FERNLEY</t>
  </si>
  <si>
    <t>CITY OF YERINGTON</t>
  </si>
  <si>
    <t>CENTRAL LYON COUNTY FIRE DISTRICT</t>
  </si>
  <si>
    <t>CENTRAL LYON VECTOR CONTROL DISTRICT</t>
  </si>
  <si>
    <t>FERNLEY SWIMMING POOL DISTRICT</t>
  </si>
  <si>
    <t>MASON VALLEY FIRE MAINTENANCE DISTRICT</t>
  </si>
  <si>
    <t>MASON VALLEY MOSQUITO DISTRICT</t>
  </si>
  <si>
    <t>MASON VALLEY SWIMMING POOL DISTRICT</t>
  </si>
  <si>
    <t>NO LYON CO FIRE MAINTENANCE DISTRICT</t>
  </si>
  <si>
    <t>SILVER SPRINGS-STAGECOACH HOSPITAL DIST</t>
  </si>
  <si>
    <t>SMITH VALLEY FIRE MAINTENANCE DISTRICT</t>
  </si>
  <si>
    <t>SOUTH LYON COUNTY HOSPITAL DISTRICT</t>
  </si>
  <si>
    <t>WILLOW CREEK GID</t>
  </si>
  <si>
    <t>Gen. Indigent</t>
  </si>
  <si>
    <t>Co-Op Extensn</t>
  </si>
  <si>
    <t>MINERAL COUNTY</t>
  </si>
  <si>
    <t xml:space="preserve">NET ASSESSED VALUE    (EXCLUDING NPM)       </t>
  </si>
  <si>
    <t>Care  &amp; Share</t>
  </si>
  <si>
    <t>MINERAL COUNTY HOSPITAL DISTRICT</t>
  </si>
  <si>
    <t>NYE COUNTY</t>
  </si>
  <si>
    <t>AMARGOSA TOWN</t>
  </si>
  <si>
    <t>BEATTY TOWN</t>
  </si>
  <si>
    <t>GABBS TOWN</t>
  </si>
  <si>
    <t>MANHATTAN TOWN</t>
  </si>
  <si>
    <t>PAHRUMP TOWN</t>
  </si>
  <si>
    <t>ROUND MOUNTAIN TOWN</t>
  </si>
  <si>
    <t>TONOPAH TOWN</t>
  </si>
  <si>
    <t>AMARGOSA LIBRARY DISTRICT</t>
  </si>
  <si>
    <t>BEATTY LIBRARY DISTRICT</t>
  </si>
  <si>
    <t>NYE COUNTY HOSPITAL DISTRICT</t>
  </si>
  <si>
    <t>PAHRUMP SWIMMING POOL DISTRICT</t>
  </si>
  <si>
    <t>SMOKY VALLEY LIBRARY DISTRICT</t>
  </si>
  <si>
    <t>TONOPAH LIBRARY DISTRICT</t>
  </si>
  <si>
    <t>Medical &amp; General Indigent</t>
  </si>
  <si>
    <t>Dedicated Co. Medical</t>
  </si>
  <si>
    <t>Auto Accident Indigent</t>
  </si>
  <si>
    <t>Juvenile Probation</t>
  </si>
  <si>
    <t>Health Clinc</t>
  </si>
  <si>
    <t>Special Capital Projects</t>
  </si>
  <si>
    <t>911 Emergency</t>
  </si>
  <si>
    <t>PAHRUMP COMMUNITY LIBRARY DISTRICT</t>
  </si>
  <si>
    <t>PERSHING COUNTY</t>
  </si>
  <si>
    <t>CITY OF LOVELOCK</t>
  </si>
  <si>
    <t>General Indigent</t>
  </si>
  <si>
    <t>Medical Indigent #1</t>
  </si>
  <si>
    <t>Medical Indigent HVS</t>
  </si>
  <si>
    <t>Medical Indigent #2</t>
  </si>
  <si>
    <t>Library Fund</t>
  </si>
  <si>
    <t>Ad Valorem Capital Projects</t>
  </si>
  <si>
    <t>Recreation</t>
  </si>
  <si>
    <t>GENERAL</t>
  </si>
  <si>
    <t>TOTAL</t>
  </si>
  <si>
    <t xml:space="preserve">Total </t>
  </si>
  <si>
    <t>TOWN OF IMLAY</t>
  </si>
  <si>
    <t>PERSHING CO HOSPITAL DISTRICT</t>
  </si>
  <si>
    <t>STOREY COUNTY</t>
  </si>
  <si>
    <t>WASHOE COUNTY</t>
  </si>
  <si>
    <t>CITY OF RENO</t>
  </si>
  <si>
    <t>CITY OF SPARKS</t>
  </si>
  <si>
    <t>INCLINE VILLAGE GID</t>
  </si>
  <si>
    <t>LEMMON VALLEY UNDERGROUND WATER BASIN</t>
  </si>
  <si>
    <t>NO LAKE TAHOE FIRE PROTECTION DISTRICT</t>
  </si>
  <si>
    <t>PALOMINO VALLEY GID</t>
  </si>
  <si>
    <t>SIERRA FOREST FIRE PROTECTION DIST</t>
  </si>
  <si>
    <t>TRUCKEE MEADOWS UNDERGROUND WATER</t>
  </si>
  <si>
    <t xml:space="preserve">  AB104 Fair Share</t>
  </si>
  <si>
    <t xml:space="preserve">  Ag. Extension</t>
  </si>
  <si>
    <t xml:space="preserve">  Animal Shelter Operating</t>
  </si>
  <si>
    <t xml:space="preserve">  Capital Facilities</t>
  </si>
  <si>
    <t xml:space="preserve">  Child Protection</t>
  </si>
  <si>
    <t xml:space="preserve">  County General</t>
  </si>
  <si>
    <t xml:space="preserve">  District Court</t>
  </si>
  <si>
    <t xml:space="preserve">  Indigent Health</t>
  </si>
  <si>
    <t xml:space="preserve">  Indigent Insurance</t>
  </si>
  <si>
    <t xml:space="preserve">  Library Override</t>
  </si>
  <si>
    <t xml:space="preserve">  Senior Citizens</t>
  </si>
  <si>
    <t xml:space="preserve">  County Jail Override</t>
  </si>
  <si>
    <t xml:space="preserve">  Youth Facilities</t>
  </si>
  <si>
    <t xml:space="preserve">  County Debt</t>
  </si>
  <si>
    <t>TOTAL LVUWB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</si>
  <si>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</si>
  <si>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</si>
  <si>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</si>
  <si>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</si>
  <si>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</si>
  <si>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</si>
  <si>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</si>
  <si>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</si>
  <si>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</si>
  <si>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</si>
  <si>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</si>
  <si>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</si>
  <si>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</si>
  <si>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</si>
  <si>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WASHOE</t>
  </si>
  <si>
    <t>WHITE PINE</t>
  </si>
  <si>
    <t>STATE TOTAL</t>
  </si>
  <si>
    <t>Total State 17¢</t>
  </si>
  <si>
    <t xml:space="preserve">SCHOOL DISTRICT DEBT </t>
  </si>
  <si>
    <t>CHURCHILL COUNTY</t>
  </si>
  <si>
    <t>Social Servs.</t>
  </si>
  <si>
    <t>Pub. Library</t>
  </si>
  <si>
    <t>Cap.Imp.Fund</t>
  </si>
  <si>
    <t>Tax Act 1991</t>
  </si>
  <si>
    <t>Hosp.Care MVA</t>
  </si>
  <si>
    <t>Fire Equip.</t>
  </si>
  <si>
    <t>Ind Med Care</t>
  </si>
  <si>
    <t>CITY OF FALLON</t>
  </si>
  <si>
    <t>CHURCHILL CO. MOSQUITO DISTRICT</t>
  </si>
  <si>
    <t xml:space="preserve"> WHITE PINE COUNTY</t>
  </si>
  <si>
    <t>Agriculture Dist. #13</t>
  </si>
  <si>
    <t>County Indigent</t>
  </si>
  <si>
    <t>Emergency Medical Svc</t>
  </si>
  <si>
    <t>Indigent Accident</t>
  </si>
  <si>
    <t>Capital Improvements</t>
  </si>
  <si>
    <t>SCHOOL TOTAL</t>
  </si>
  <si>
    <t>CLARK COUNTY</t>
  </si>
  <si>
    <t>BOULDER CITY</t>
  </si>
  <si>
    <t>BOULDER CITY LIBRARY</t>
  </si>
  <si>
    <t>BOULDER CITY REDEVELOPMENT</t>
  </si>
  <si>
    <t>HENDERSON PUBLIC LIBRARY</t>
  </si>
  <si>
    <t>HENDERSON REDEVELOPMENT</t>
  </si>
  <si>
    <t>LAS VEGAS/CLARK COUNTY LIBRARY</t>
  </si>
  <si>
    <t>LVMPD MANPOWER (LV)</t>
  </si>
  <si>
    <t>LVMPD MANPOWER (CO)</t>
  </si>
  <si>
    <t>LVMPD EMERGENCY 911</t>
  </si>
  <si>
    <t>LAS VEGAS REDEVELOPMENT</t>
  </si>
  <si>
    <t>MESQUITE REDEVELOPMENT</t>
  </si>
  <si>
    <t>MT CHARLESTON FIRE</t>
  </si>
  <si>
    <t>MUDDY RIVER SPRINGS WATER BASIN</t>
  </si>
  <si>
    <t>NORTH LAS VEGAS CITY LIBRARY</t>
  </si>
  <si>
    <t>NORTH LAS VEGAS 911</t>
  </si>
  <si>
    <t>NORTH LAS VEGAS REDEVELOPMENT AGENCY</t>
  </si>
  <si>
    <t>CITY OF HENDERSON</t>
  </si>
  <si>
    <t>CITY OF LAS VEGAS</t>
  </si>
  <si>
    <t>Fire Safety</t>
  </si>
  <si>
    <t>LV &amp; debt</t>
  </si>
  <si>
    <t>LV % of total</t>
  </si>
  <si>
    <t>Debt % total</t>
  </si>
  <si>
    <t>Total tax</t>
  </si>
  <si>
    <t>CITY OF MESQUITE</t>
  </si>
  <si>
    <t>CITY OF NORTH LAS VEGAS</t>
  </si>
  <si>
    <t>Public Safety</t>
  </si>
  <si>
    <t>Street Maint/Fire/Park</t>
  </si>
  <si>
    <t>BUNKERVILLE TOWN</t>
  </si>
  <si>
    <t>ENTERPRISE TOWN</t>
  </si>
  <si>
    <t>INDIAN SPRINGS TOWN</t>
  </si>
  <si>
    <t>LAUGHLIN TOWN</t>
  </si>
  <si>
    <t>MOAPA TOWN</t>
  </si>
  <si>
    <t>MOAPA VALLEY TOWN</t>
  </si>
  <si>
    <t>MT CHARLESTON TOWN</t>
  </si>
  <si>
    <t>PARADISE TOWN</t>
  </si>
  <si>
    <t>SEARCHLIGHT TOWN</t>
  </si>
  <si>
    <t>SPRING VALLEY TOWN</t>
  </si>
  <si>
    <t>SUMMERLIN TOWN</t>
  </si>
  <si>
    <t>SUNRISE MANOR TOWN</t>
  </si>
  <si>
    <t>WHITNEY TOWN</t>
  </si>
  <si>
    <t>WINCHESTER TOWN</t>
  </si>
  <si>
    <t>CLARK COUNTY FIRE SERVICE</t>
  </si>
  <si>
    <t>LAS VEGAS/CLARK COUNTY LIBRARY - DEBT</t>
  </si>
  <si>
    <t>Total</t>
  </si>
  <si>
    <t>COYOTE SPRINGS</t>
  </si>
  <si>
    <t>Post Abatement Assessed Valuation</t>
  </si>
  <si>
    <t>% Share</t>
  </si>
  <si>
    <t xml:space="preserve">Entity </t>
  </si>
  <si>
    <t>Rev. Amount</t>
  </si>
  <si>
    <t>Washoe County</t>
  </si>
  <si>
    <t>Reno</t>
  </si>
  <si>
    <t>Sparks</t>
  </si>
  <si>
    <t>Carson Truckee Water</t>
  </si>
  <si>
    <t>Incline Village GID</t>
  </si>
  <si>
    <t>North Lake Tahoe Fire</t>
  </si>
  <si>
    <t>Palomino Valley GID</t>
  </si>
  <si>
    <t>Sun Valley Water</t>
  </si>
  <si>
    <t>Truckee Meadows Fire</t>
  </si>
  <si>
    <t>Verdi TV</t>
  </si>
  <si>
    <t>Total Fair Share Revenue</t>
  </si>
  <si>
    <t xml:space="preserve">TOTAL ASSESSED VALUE   (EXCLUDING NPM)        </t>
  </si>
  <si>
    <t xml:space="preserve">TOTAL PREABATED TAX AMOUNT                         (5+6+7-8+9)  </t>
  </si>
  <si>
    <t xml:space="preserve">NET_TAX                           (10-11)       </t>
  </si>
  <si>
    <t>Total AV - March Seg - Col. Q</t>
  </si>
  <si>
    <t xml:space="preserve">Note: </t>
  </si>
  <si>
    <t xml:space="preserve">NET_TAX                           (10-12)       </t>
  </si>
  <si>
    <t>LEED ABATEMENT</t>
  </si>
  <si>
    <t>SLCHCP GID</t>
  </si>
  <si>
    <t>LINCOLN COUNTY FIRE DISTRICT</t>
  </si>
  <si>
    <t>INDEX TO PRO FORMA AD VALOREM PROJECTIONS</t>
  </si>
  <si>
    <t>COUNTY</t>
  </si>
  <si>
    <t>PAGE NUMBER</t>
  </si>
  <si>
    <t>STATEWIDE SUMMARY</t>
  </si>
  <si>
    <t>STATE 17 CENTS</t>
  </si>
  <si>
    <t>SCHOOL DISTRICT SUMMARY</t>
  </si>
  <si>
    <r>
      <t xml:space="preserve">Existing Secured - </t>
    </r>
    <r>
      <rPr>
        <b/>
        <sz val="10"/>
        <rFont val="Arial"/>
        <family val="2"/>
      </rPr>
      <t>City</t>
    </r>
  </si>
  <si>
    <r>
      <t xml:space="preserve">Existing Secured - </t>
    </r>
    <r>
      <rPr>
        <b/>
        <sz val="10"/>
        <rFont val="Arial"/>
        <family val="2"/>
      </rPr>
      <t>N. Las Vegas</t>
    </r>
  </si>
  <si>
    <t>March 10 Assessor Report     Column E      New Sec</t>
  </si>
  <si>
    <t>March 10  Assessor Report     Column E      New Sec</t>
  </si>
  <si>
    <t>STATE 17¢ BY COUNTY</t>
  </si>
  <si>
    <t>RDA</t>
  </si>
  <si>
    <t>PANACA FIRE</t>
  </si>
  <si>
    <t>HEALTH/WELFARE</t>
  </si>
  <si>
    <t>GERLACH GID</t>
  </si>
  <si>
    <t>RTC Fund</t>
  </si>
  <si>
    <t xml:space="preserve">General Indigent </t>
  </si>
  <si>
    <t xml:space="preserve">% of Total </t>
  </si>
  <si>
    <t>Tax Rate</t>
  </si>
  <si>
    <t>Total New,</t>
  </si>
  <si>
    <t>Unsec &amp; CA</t>
  </si>
  <si>
    <t xml:space="preserve">General </t>
  </si>
  <si>
    <t>County</t>
  </si>
  <si>
    <t xml:space="preserve">Apportionment </t>
  </si>
  <si>
    <t>of total New,</t>
  </si>
  <si>
    <t>LOWER MOAPA VALLEY GWB</t>
  </si>
  <si>
    <t>Value is net of exemptions</t>
  </si>
  <si>
    <t>Abatement Percent</t>
  </si>
  <si>
    <t>Post Abatement Assessed Valuation + NPM</t>
  </si>
  <si>
    <t>DEPARTMENT OF TAXATION</t>
  </si>
  <si>
    <t>To facilitate comparison of the two sets of data, the existing secured value has been reduced by the exempt value.</t>
  </si>
  <si>
    <t xml:space="preserve">Total existing secured value in column (4) represents gross assessed value whereas the assessed value from the segregation report is net of exemption.  </t>
  </si>
  <si>
    <t>Local Government Finance Section</t>
  </si>
  <si>
    <t>Proforma Ad Valorem Revenue Projections</t>
  </si>
  <si>
    <t>BOULDER CITY LIBRARY DEBT</t>
  </si>
  <si>
    <t>MOAPA TOWN VOTER OVERRIDE PARKS</t>
  </si>
  <si>
    <t>LEED/RENEWABLE ENERGY ABATEMENT</t>
  </si>
  <si>
    <t>STOREY COUNTY FIRE PROTECTION</t>
  </si>
  <si>
    <t>ENTITY</t>
  </si>
  <si>
    <t>ESTIMATED TAX</t>
  </si>
  <si>
    <t>ESTIMATED TAX NET OF LEED ABATEMENT</t>
  </si>
  <si>
    <t>State of Nevada</t>
  </si>
  <si>
    <t>Clark County</t>
  </si>
  <si>
    <t>City of Henderson</t>
  </si>
  <si>
    <t>City of Las Vegas</t>
  </si>
  <si>
    <t>LV/Clark County Library</t>
  </si>
  <si>
    <t>LVMPD Emergency 911</t>
  </si>
  <si>
    <t>Enterprise Town</t>
  </si>
  <si>
    <t>Paradise Town</t>
  </si>
  <si>
    <t>Spring Valley Town</t>
  </si>
  <si>
    <t>Henderson City Library</t>
  </si>
  <si>
    <t>Clark County Fire Service District</t>
  </si>
  <si>
    <t>Storey County</t>
  </si>
  <si>
    <t>City of Reno</t>
  </si>
  <si>
    <t>Washoe County School District</t>
  </si>
  <si>
    <t>Statewide Total</t>
  </si>
  <si>
    <t>Note: The net revenue reported in the Clark County and Washoe County sections are net of the reported LEED abatement amounts on this page.</t>
  </si>
  <si>
    <t>NET TAX LESS REDEVELOPMENT AND LEED/RENEWABLE ENERGY ABATEMENT                       (12-13-14)</t>
  </si>
  <si>
    <t>ROUND HILL GID</t>
  </si>
  <si>
    <t>TOTAL ROUND HILL GID</t>
  </si>
  <si>
    <t>Henderson Redevelopment</t>
  </si>
  <si>
    <t>Las Vegas Redevelopment</t>
  </si>
  <si>
    <t>City of North Las Vegas</t>
  </si>
  <si>
    <t>Laughlin Town</t>
  </si>
  <si>
    <t>Summerlin Town</t>
  </si>
  <si>
    <t>Sunrise Manor Town</t>
  </si>
  <si>
    <t>Winchester Town</t>
  </si>
  <si>
    <t>North Las Vegas Emergency 911</t>
  </si>
  <si>
    <t>North Las Vegas Library</t>
  </si>
  <si>
    <t>City of Sparks</t>
  </si>
  <si>
    <t>Senior Center</t>
  </si>
  <si>
    <t>FF INC ABATEMENT TRUST</t>
  </si>
  <si>
    <t xml:space="preserve">     Family Court</t>
  </si>
  <si>
    <t xml:space="preserve">     Cooperative Extension</t>
  </si>
  <si>
    <t xml:space="preserve">     County Capital</t>
  </si>
  <si>
    <t xml:space="preserve">     Assistance to Indigent Persons</t>
  </si>
  <si>
    <t xml:space="preserve">     County Assessor Commission</t>
  </si>
  <si>
    <t xml:space="preserve">     Accident Indigent</t>
  </si>
  <si>
    <t xml:space="preserve"> Road Operating</t>
  </si>
  <si>
    <t>Water Plan</t>
  </si>
  <si>
    <t>Nat Res Fund</t>
  </si>
  <si>
    <t>Fire/Emer Srv</t>
  </si>
  <si>
    <t>*</t>
  </si>
  <si>
    <t>already factored into the calculation for Clark County</t>
  </si>
  <si>
    <t>Need to factor into STOREY TAB - State and County LEED</t>
  </si>
  <si>
    <t>No need to factor into Washoe County; Similar to Clark Above</t>
  </si>
  <si>
    <t>CA RDA</t>
  </si>
  <si>
    <t>RENO RDA  #1</t>
  </si>
  <si>
    <t>RENO RDA #2</t>
  </si>
  <si>
    <t>SPARKS RDA #2</t>
  </si>
  <si>
    <t>SUN VALLEY GID</t>
  </si>
  <si>
    <t xml:space="preserve">TRUCKEE MEADOWS FIRE PROTECTION </t>
  </si>
  <si>
    <t>SCHOOL DISTRICT OPERATING REVENUE</t>
  </si>
  <si>
    <t>NPM Value</t>
  </si>
  <si>
    <t>NPM  collected FY 18/19 for School FY 19/20</t>
  </si>
  <si>
    <t>Original Report</t>
  </si>
  <si>
    <t>NPM Taxes Due in FY 19/20 for School Operating FY 20/21</t>
  </si>
  <si>
    <t>NPM Taxes Due in FY 19/20 for School Debt FY 20/21</t>
  </si>
  <si>
    <t xml:space="preserve">  Disolved as of 2020 absorbed by Alamo town</t>
  </si>
  <si>
    <t>County Abatement Percent</t>
  </si>
  <si>
    <t>P</t>
  </si>
  <si>
    <t>Pahrump Museum</t>
  </si>
  <si>
    <t>Preabated Revenue</t>
  </si>
  <si>
    <t>Net of Abatement</t>
  </si>
  <si>
    <t>CLARK COUNTY REDEVELOPMENT</t>
  </si>
  <si>
    <t>LVMPD Manpower Supplemental (LV)</t>
  </si>
  <si>
    <t>LVMPD Manpower Supplemental (CO)</t>
  </si>
  <si>
    <t>Whitney Town</t>
  </si>
  <si>
    <t xml:space="preserve"> </t>
  </si>
  <si>
    <t>Absorbed by LCFD FY 2021</t>
  </si>
  <si>
    <t>Total Renewable Abatement:</t>
  </si>
  <si>
    <t>Fair Board</t>
  </si>
  <si>
    <t>Bld Res Fund</t>
  </si>
  <si>
    <t>Fut Res Fund</t>
  </si>
  <si>
    <t>used Tax Summary Proforma TIF</t>
  </si>
  <si>
    <t xml:space="preserve">   Capital Projects</t>
  </si>
  <si>
    <t>Austin Water</t>
  </si>
  <si>
    <t>Austin Sewer</t>
  </si>
  <si>
    <t>Clark County School District</t>
  </si>
  <si>
    <t>Clark County Family Court</t>
  </si>
  <si>
    <t>Assistance to Indigent persons</t>
  </si>
  <si>
    <t>Indigent Accident Fund</t>
  </si>
  <si>
    <t>LV Fire Safety</t>
  </si>
  <si>
    <t>North Las Vegas Public Safety</t>
  </si>
  <si>
    <t>North Las Vegas Street Maint/Fire/Park</t>
  </si>
  <si>
    <t>State Cooperative Extension</t>
  </si>
  <si>
    <t>2024 is the last year for the Reno RE Ventures LLC/Gateway comm Center</t>
  </si>
  <si>
    <t>information from Jana Seddon, Assessor Storey County</t>
  </si>
  <si>
    <t>SPARKS RDA #1 - EXPIRED</t>
  </si>
  <si>
    <t>Leed Abatement as required by NAC 701A.370</t>
  </si>
  <si>
    <t>Senior Services</t>
  </si>
  <si>
    <t>Economic Development</t>
  </si>
  <si>
    <t>County Cap Fund</t>
  </si>
  <si>
    <t>Ambulance Fund</t>
  </si>
  <si>
    <t>Ad Valorem Cap Proj</t>
  </si>
  <si>
    <t>Reno &amp; Sparks Redevelopment</t>
  </si>
  <si>
    <t>FY 2025-26 ESTIMATED FISCAL IMPACT DUE TO LEED ABATEMENT</t>
  </si>
  <si>
    <t xml:space="preserve">PROPOSED FY 26 TAX RATE   </t>
  </si>
  <si>
    <t xml:space="preserve">FY 26 EXEMPT RATE          </t>
  </si>
  <si>
    <t>School Cap Pr</t>
  </si>
  <si>
    <t>Reflects Revised ProForma from Elko 3.11.25</t>
  </si>
  <si>
    <t>NE NV FIRE PROTECTION DISTRICT</t>
  </si>
  <si>
    <t xml:space="preserve"> Nye Co Airport Fund</t>
  </si>
  <si>
    <t>Accident Indigent</t>
  </si>
  <si>
    <t>Capital Project (L)</t>
  </si>
  <si>
    <t>County Redevelopment Area Winchester</t>
  </si>
  <si>
    <t>Henderson Debt</t>
  </si>
  <si>
    <t>Clark County Capital</t>
  </si>
  <si>
    <t>Nye County</t>
  </si>
  <si>
    <t>Justin Zimmerman</t>
  </si>
  <si>
    <t>FY 2025-2026 &amp;</t>
  </si>
  <si>
    <t>775-482-8179</t>
  </si>
  <si>
    <t xml:space="preserve">FY 2025-2026 </t>
  </si>
  <si>
    <t>FY 2024-2025</t>
  </si>
  <si>
    <t>Land &amp; Improvements</t>
  </si>
  <si>
    <t>Land &amp; Improvmts</t>
  </si>
  <si>
    <t>Personal Property</t>
  </si>
  <si>
    <t>APN 612-141-01</t>
  </si>
  <si>
    <t>APN 012-031-04</t>
  </si>
  <si>
    <t>APN 012-131-03</t>
  </si>
  <si>
    <t>APN 012-131-04</t>
  </si>
  <si>
    <t>APN EQ105138</t>
  </si>
  <si>
    <t>Tonopah Solar</t>
  </si>
  <si>
    <t>Total by Entity</t>
  </si>
  <si>
    <t>State</t>
  </si>
  <si>
    <t>Co General</t>
  </si>
  <si>
    <t>roads</t>
  </si>
  <si>
    <t>Ag Ext</t>
  </si>
  <si>
    <t>Med &amp; Gen Ind</t>
  </si>
  <si>
    <t>Ded Co Med</t>
  </si>
  <si>
    <t>Auto Acc Indg</t>
  </si>
  <si>
    <t>Jevenile Prob</t>
  </si>
  <si>
    <t>Health Clinic</t>
  </si>
  <si>
    <t>Spec Cap Proj</t>
  </si>
  <si>
    <t>911 emergency</t>
  </si>
  <si>
    <t>School Dist</t>
  </si>
  <si>
    <t>School Debt</t>
  </si>
  <si>
    <t>Tonopah Town</t>
  </si>
  <si>
    <t>Tonopah Library</t>
  </si>
  <si>
    <t>N. Hosp Dist</t>
  </si>
  <si>
    <t>Tonopah Museum</t>
  </si>
  <si>
    <t>Nye County Airport</t>
  </si>
  <si>
    <t>.</t>
  </si>
  <si>
    <t>WHITE PINE CO HOSPITAL DISTRICT</t>
  </si>
  <si>
    <t>*Renewable Energy Abatement above reflects Online Transmission renewable contract  – expires 4/3/2032</t>
  </si>
  <si>
    <t>CL, EL, EU, HU, LA, LN, NY, WP –</t>
  </si>
  <si>
    <t>*Renewable Energy Abatement above reflects Patua Acqusitions contract  – expires 10/1/2032</t>
  </si>
  <si>
    <t>CL, LY</t>
  </si>
  <si>
    <t>CL, LN, NY, WP</t>
  </si>
  <si>
    <t>% Change over prior year:</t>
  </si>
  <si>
    <t>STOREY CO. FIRE PROTECTION DISTRICT</t>
  </si>
  <si>
    <t>FY 2026-2027</t>
  </si>
  <si>
    <t>March 25, 2026</t>
  </si>
  <si>
    <t xml:space="preserve">FY 27 EXEMPT RATE          </t>
  </si>
  <si>
    <t xml:space="preserve">PROPOSED FY 27 TAX RATE   </t>
  </si>
  <si>
    <t>Fiscal Year 2026-2027</t>
  </si>
  <si>
    <r>
      <t>Elko Redev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$464,541.98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  Wells Redev </t>
    </r>
    <r>
      <rPr>
        <b/>
        <sz val="10"/>
        <rFont val="Arial"/>
        <family val="2"/>
      </rPr>
      <t>$117,124.20</t>
    </r>
    <r>
      <rPr>
        <sz val="10"/>
        <rFont val="Arial"/>
        <family val="2"/>
      </rPr>
      <t xml:space="preserve"> Net  Abatement Elko Proforma</t>
    </r>
  </si>
  <si>
    <t>Tonopah Museum &amp; Nv Hist Society</t>
  </si>
  <si>
    <t xml:space="preserve">   EMERGENCY SERVICES</t>
  </si>
  <si>
    <t>CAPITAL AQUIS</t>
  </si>
  <si>
    <t>IND MEDICAL</t>
  </si>
  <si>
    <t>IND ACCIDENT</t>
  </si>
  <si>
    <t>YOUTH SERVICE</t>
  </si>
  <si>
    <t>CAPITAL PROJECTS</t>
  </si>
  <si>
    <t>ROADS</t>
  </si>
  <si>
    <t>Per the Clark County Treasurer's Office, the total secured value in column (4) includes $16,602,827,488 VSBTE value for parcels where exemption is applied to the tax liability and is not value based and $775,717,792 in (vsble)LEED exemption.</t>
  </si>
  <si>
    <r>
      <t xml:space="preserve">The total existing secured value in column (4) includes </t>
    </r>
    <r>
      <rPr>
        <u val="singleAccounting"/>
        <sz val="10"/>
        <color rgb="FFFF0000"/>
        <rFont val="Arial"/>
        <family val="2"/>
      </rPr>
      <t>57,371,781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incremental value of parcels located within the boundary of the Redevelopment Authorities. </t>
    </r>
  </si>
  <si>
    <t>Total secured value includes $163,314,322 incremental value for the Redevelopment Agency</t>
  </si>
  <si>
    <t>The total existing secured value in column (4) includes $200,128,235 incremental value of parcels located within the boundary of the Redevelopment Authority.</t>
  </si>
  <si>
    <t>County Proforma doesn't reflect LEED (below represents 1/2 of prior year)</t>
  </si>
  <si>
    <t>CA Proforma doesn't reflect LEED (below represents approx. prior year)</t>
  </si>
  <si>
    <t>County Proforma doesn't reflect LEED (below represents approx. prior year)</t>
  </si>
  <si>
    <t>County Proforma doesn't reflect LEED  since FY 24/25 was the last year of LEED Abatement</t>
  </si>
  <si>
    <t>Division of Local Government Services</t>
  </si>
  <si>
    <r>
      <rPr>
        <sz val="10"/>
        <color rgb="FFFF0000"/>
        <rFont val="Arial"/>
        <family val="2"/>
      </rPr>
      <t xml:space="preserve">Douglas County </t>
    </r>
    <r>
      <rPr>
        <sz val="10"/>
        <rFont val="Arial"/>
      </rPr>
      <t>LEED were done as of FY 25/26. No longer reported</t>
    </r>
  </si>
  <si>
    <t>Lander Co. Renewable Energy is Beowawe Geothermal - Personal Property &amp; McGinness Hills Geothermal, Austin</t>
  </si>
  <si>
    <t>(Revised DO, LA  3/26/26)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</si>
</sst>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* #,##0.0000_);_(* \(#,##0.0000\);_(* &quot;-&quot;??_);_(@_)"/>
    <numFmt numFmtId="167" formatCode="_(* #,##0.0000_);_(* \(#,##0.0000\);_(* &quot;-&quot;????_);_(@_)"/>
    <numFmt numFmtId="168" formatCode="0_);\(0\)"/>
    <numFmt numFmtId="169" formatCode="_(* #,##0.00_);_(* \(#,##0.00\);_(* &quot;-&quot;_);_(@_)"/>
    <numFmt numFmtId="170" formatCode="0.0000%"/>
    <numFmt numFmtId="171" formatCode="#,##0.00;[Red]\(#,##0.00\)"/>
    <numFmt numFmtId="172" formatCode="#,##0.00;[Red]\(#,##0.00"/>
    <numFmt numFmtId="173" formatCode="_(&quot;$&quot;* #,##0_);_(&quot;$&quot;* \(#,##0\);_(&quot;$&quot;* &quot;-&quot;??_);_(@_)"/>
    <numFmt numFmtId="174" formatCode="&quot;$&quot;#,##0.00"/>
    <numFmt numFmtId="175" formatCode="_(* #,##0.00_);_(* \(#,##0.00\);_(* &quot;-&quot;????_);_(@_)"/>
    <numFmt numFmtId="176" formatCode="#,##0;[Red]\(#,##0\)"/>
    <numFmt numFmtId="177" formatCode="_(* #,##0_);_(* \(#,##0\);_(* &quot;-&quot;????_);_(@_)"/>
    <numFmt numFmtId="178" formatCode="0.000%"/>
    <numFmt numFmtId="179" formatCode="_(* #,##0.000_);_(* \(#,##0.000\);_(* &quot;-&quot;_);_(@_)"/>
  </numFmts>
  <fonts count="9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4"/>
      <name val="Arial"/>
      <family val="2"/>
    </font>
    <font>
      <sz val="11"/>
      <name val="Arial"/>
      <family val="2"/>
    </font>
    <font>
      <sz val="10"/>
      <color indexed="21"/>
      <name val="Arial"/>
      <family val="2"/>
    </font>
    <font>
      <b/>
      <u/>
      <sz val="9"/>
      <name val="Arial"/>
      <family val="2"/>
    </font>
    <font>
      <b/>
      <sz val="10"/>
      <color indexed="10"/>
      <name val="Arial"/>
      <family val="2"/>
    </font>
    <font>
      <sz val="9"/>
      <color indexed="12"/>
      <name val="Arial"/>
      <family val="2"/>
    </font>
    <font>
      <sz val="10"/>
      <color indexed="45"/>
      <name val="Arial"/>
      <family val="2"/>
    </font>
    <font>
      <b/>
      <sz val="10"/>
      <color indexed="45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30"/>
      <name val="Times New Roman"/>
      <family val="1"/>
    </font>
    <font>
      <b/>
      <sz val="36"/>
      <name val="Times New Roman"/>
      <family val="1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name val="Arial"/>
      <family val="2"/>
    </font>
    <font>
      <sz val="10"/>
      <name val="Arial"/>
      <family val="2"/>
    </font>
    <font>
      <sz val="11"/>
      <color rgb="FF4472C4"/>
      <name val="Calibri"/>
      <family val="2"/>
    </font>
    <font>
      <sz val="10"/>
      <name val="Times New Roman"/>
      <family val="1"/>
    </font>
    <font>
      <sz val="11"/>
      <color rgb="FF4472C4"/>
      <name val="CG Omega"/>
    </font>
    <font>
      <u/>
      <sz val="11"/>
      <color rgb="FF4472C4"/>
      <name val="CG Omega"/>
    </font>
    <font>
      <sz val="10"/>
      <color rgb="FF4472C4"/>
      <name val="CG Omega"/>
    </font>
    <font>
      <sz val="10"/>
      <name val="Wingdings 2"/>
      <family val="1"/>
      <charset val="2"/>
    </font>
    <font>
      <sz val="26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2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  <font>
      <b/>
      <u/>
      <sz val="10"/>
      <color rgb="FFFF0000"/>
      <name val="Arial"/>
      <family val="2"/>
    </font>
    <font>
      <sz val="26"/>
      <color rgb="FFFF0000"/>
      <name val="Arial"/>
      <family val="2"/>
    </font>
    <font>
      <sz val="18"/>
      <color rgb="FFFF0000"/>
      <name val="Arial"/>
      <family val="2"/>
    </font>
    <font>
      <u val="singleAccounting"/>
      <sz val="10"/>
      <color rgb="FFFF0000"/>
      <name val="Arial"/>
      <family val="2"/>
    </font>
    <font>
      <sz val="8.5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63377788628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1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1" applyNumberFormat="0" applyFill="0" applyAlignment="0" applyProtection="0"/>
    <xf numFmtId="0" fontId="53" fillId="0" borderId="0" applyNumberFormat="0" applyFill="0" applyBorder="0" applyAlignment="0" applyProtection="0"/>
    <xf numFmtId="0" fontId="54" fillId="12" borderId="0" applyNumberFormat="0" applyBorder="0" applyAlignment="0" applyProtection="0"/>
    <xf numFmtId="0" fontId="55" fillId="13" borderId="0" applyNumberFormat="0" applyBorder="0" applyAlignment="0" applyProtection="0"/>
    <xf numFmtId="0" fontId="56" fillId="15" borderId="22" applyNumberFormat="0" applyAlignment="0" applyProtection="0"/>
    <xf numFmtId="0" fontId="57" fillId="16" borderId="23" applyNumberFormat="0" applyAlignment="0" applyProtection="0"/>
    <xf numFmtId="0" fontId="58" fillId="16" borderId="22" applyNumberFormat="0" applyAlignment="0" applyProtection="0"/>
    <xf numFmtId="0" fontId="59" fillId="0" borderId="24" applyNumberFormat="0" applyFill="0" applyAlignment="0" applyProtection="0"/>
    <xf numFmtId="0" fontId="60" fillId="17" borderId="25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7" applyNumberFormat="0" applyFill="0" applyAlignment="0" applyProtection="0"/>
    <xf numFmtId="0" fontId="6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6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6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6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64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64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65" fillId="0" borderId="0"/>
    <xf numFmtId="0" fontId="4" fillId="0" borderId="0"/>
    <xf numFmtId="0" fontId="64" fillId="22" borderId="0" applyNumberFormat="0" applyBorder="0" applyAlignment="0" applyProtection="0"/>
    <xf numFmtId="0" fontId="64" fillId="26" borderId="0" applyNumberFormat="0" applyBorder="0" applyAlignment="0" applyProtection="0"/>
    <xf numFmtId="0" fontId="64" fillId="30" borderId="0" applyNumberFormat="0" applyBorder="0" applyAlignment="0" applyProtection="0"/>
    <xf numFmtId="0" fontId="64" fillId="34" borderId="0" applyNumberFormat="0" applyBorder="0" applyAlignment="0" applyProtection="0"/>
    <xf numFmtId="0" fontId="64" fillId="38" borderId="0" applyNumberFormat="0" applyBorder="0" applyAlignment="0" applyProtection="0"/>
    <xf numFmtId="0" fontId="64" fillId="42" borderId="0" applyNumberFormat="0" applyBorder="0" applyAlignment="0" applyProtection="0"/>
    <xf numFmtId="0" fontId="66" fillId="14" borderId="0" applyNumberFormat="0" applyBorder="0" applyAlignment="0" applyProtection="0"/>
    <xf numFmtId="0" fontId="3" fillId="0" borderId="0"/>
    <xf numFmtId="0" fontId="3" fillId="18" borderId="26" applyNumberFormat="0" applyFont="0" applyAlignment="0" applyProtection="0"/>
    <xf numFmtId="0" fontId="67" fillId="0" borderId="0" applyNumberFormat="0" applyFill="0" applyBorder="0" applyAlignment="0" applyProtection="0"/>
    <xf numFmtId="44" fontId="69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18" borderId="26" applyNumberFormat="0" applyFont="0" applyAlignment="0" applyProtection="0"/>
    <xf numFmtId="0" fontId="81" fillId="0" borderId="0"/>
    <xf numFmtId="0" fontId="83" fillId="0" borderId="0"/>
    <xf numFmtId="43" fontId="83" fillId="0" borderId="0" applyFont="0" applyFill="0" applyBorder="0" applyAlignment="0" applyProtection="0"/>
    <xf numFmtId="0" fontId="1" fillId="0" borderId="0"/>
    <xf numFmtId="0" fontId="81" fillId="0" borderId="0"/>
  </cellStyleXfs>
  <cellXfs count="574">
    <xf numFmtId="0" fontId="0" fillId="0" borderId="0" xfId="0"/>
    <xf numFmtId="3" fontId="6" fillId="0" borderId="0" xfId="0" applyNumberFormat="1" applyFont="1"/>
    <xf numFmtId="167" fontId="7" fillId="0" borderId="0" xfId="0" applyNumberFormat="1" applyFont="1"/>
    <xf numFmtId="41" fontId="7" fillId="0" borderId="0" xfId="0" applyNumberFormat="1" applyFont="1"/>
    <xf numFmtId="0" fontId="7" fillId="0" borderId="0" xfId="0" applyFont="1"/>
    <xf numFmtId="168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167" fontId="9" fillId="0" borderId="1" xfId="0" applyNumberFormat="1" applyFont="1" applyBorder="1" applyAlignment="1">
      <alignment horizontal="center" wrapText="1"/>
    </xf>
    <xf numFmtId="41" fontId="9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167" fontId="10" fillId="0" borderId="0" xfId="0" applyNumberFormat="1" applyFont="1"/>
    <xf numFmtId="41" fontId="10" fillId="0" borderId="0" xfId="0" applyNumberFormat="1" applyFont="1"/>
    <xf numFmtId="41" fontId="4" fillId="0" borderId="0" xfId="0" applyNumberFormat="1" applyFont="1"/>
    <xf numFmtId="0" fontId="4" fillId="0" borderId="0" xfId="0" applyFont="1"/>
    <xf numFmtId="0" fontId="11" fillId="0" borderId="0" xfId="0" applyFont="1"/>
    <xf numFmtId="3" fontId="4" fillId="0" borderId="0" xfId="0" applyNumberFormat="1" applyFont="1"/>
    <xf numFmtId="167" fontId="4" fillId="0" borderId="0" xfId="0" applyNumberFormat="1" applyFont="1"/>
    <xf numFmtId="43" fontId="4" fillId="0" borderId="0" xfId="0" applyNumberFormat="1" applyFont="1"/>
    <xf numFmtId="3" fontId="10" fillId="0" borderId="0" xfId="0" applyNumberFormat="1" applyFont="1"/>
    <xf numFmtId="41" fontId="10" fillId="0" borderId="1" xfId="0" applyNumberFormat="1" applyFont="1" applyBorder="1"/>
    <xf numFmtId="3" fontId="10" fillId="0" borderId="1" xfId="0" applyNumberFormat="1" applyFont="1" applyBorder="1"/>
    <xf numFmtId="167" fontId="4" fillId="0" borderId="1" xfId="0" applyNumberFormat="1" applyFont="1" applyBorder="1"/>
    <xf numFmtId="41" fontId="4" fillId="0" borderId="1" xfId="0" applyNumberFormat="1" applyFont="1" applyBorder="1"/>
    <xf numFmtId="41" fontId="12" fillId="0" borderId="0" xfId="0" applyNumberFormat="1" applyFont="1"/>
    <xf numFmtId="41" fontId="4" fillId="2" borderId="0" xfId="0" applyNumberFormat="1" applyFont="1" applyFill="1"/>
    <xf numFmtId="3" fontId="4" fillId="0" borderId="0" xfId="0" applyNumberFormat="1" applyFont="1" applyAlignment="1">
      <alignment horizontal="left" indent="1"/>
    </xf>
    <xf numFmtId="167" fontId="10" fillId="0" borderId="1" xfId="0" applyNumberFormat="1" applyFont="1" applyBorder="1"/>
    <xf numFmtId="43" fontId="10" fillId="0" borderId="1" xfId="0" applyNumberFormat="1" applyFont="1" applyBorder="1"/>
    <xf numFmtId="0" fontId="10" fillId="0" borderId="0" xfId="0" applyFont="1" applyAlignment="1">
      <alignment horizontal="left" indent="1"/>
    </xf>
    <xf numFmtId="43" fontId="10" fillId="0" borderId="0" xfId="0" applyNumberFormat="1" applyFont="1"/>
    <xf numFmtId="41" fontId="4" fillId="0" borderId="3" xfId="0" applyNumberFormat="1" applyFont="1" applyBorder="1"/>
    <xf numFmtId="43" fontId="4" fillId="0" borderId="3" xfId="0" applyNumberFormat="1" applyFont="1" applyBorder="1"/>
    <xf numFmtId="167" fontId="13" fillId="3" borderId="0" xfId="0" applyNumberFormat="1" applyFont="1" applyFill="1"/>
    <xf numFmtId="41" fontId="13" fillId="3" borderId="0" xfId="0" applyNumberFormat="1" applyFont="1" applyFill="1"/>
    <xf numFmtId="0" fontId="13" fillId="3" borderId="0" xfId="0" applyFont="1" applyFill="1"/>
    <xf numFmtId="167" fontId="14" fillId="3" borderId="0" xfId="0" applyNumberFormat="1" applyFont="1" applyFill="1"/>
    <xf numFmtId="41" fontId="14" fillId="3" borderId="0" xfId="0" applyNumberFormat="1" applyFont="1" applyFill="1"/>
    <xf numFmtId="0" fontId="14" fillId="3" borderId="0" xfId="0" applyFont="1" applyFill="1"/>
    <xf numFmtId="41" fontId="15" fillId="3" borderId="0" xfId="0" applyNumberFormat="1" applyFont="1" applyFill="1"/>
    <xf numFmtId="41" fontId="16" fillId="3" borderId="0" xfId="0" applyNumberFormat="1" applyFont="1" applyFill="1"/>
    <xf numFmtId="41" fontId="10" fillId="0" borderId="3" xfId="0" applyNumberFormat="1" applyFont="1" applyBorder="1"/>
    <xf numFmtId="43" fontId="10" fillId="0" borderId="3" xfId="0" applyNumberFormat="1" applyFont="1" applyBorder="1"/>
    <xf numFmtId="41" fontId="17" fillId="0" borderId="0" xfId="0" applyNumberFormat="1" applyFont="1"/>
    <xf numFmtId="41" fontId="18" fillId="0" borderId="0" xfId="0" applyNumberFormat="1" applyFont="1"/>
    <xf numFmtId="41" fontId="18" fillId="0" borderId="0" xfId="1" applyNumberFormat="1" applyFont="1" applyFill="1" applyBorder="1"/>
    <xf numFmtId="0" fontId="18" fillId="0" borderId="0" xfId="0" applyFont="1"/>
    <xf numFmtId="3" fontId="17" fillId="0" borderId="0" xfId="0" applyNumberFormat="1" applyFont="1"/>
    <xf numFmtId="167" fontId="17" fillId="0" borderId="0" xfId="0" applyNumberFormat="1" applyFont="1"/>
    <xf numFmtId="0" fontId="17" fillId="0" borderId="0" xfId="0" applyFont="1"/>
    <xf numFmtId="0" fontId="9" fillId="0" borderId="0" xfId="0" applyFont="1"/>
    <xf numFmtId="167" fontId="9" fillId="0" borderId="0" xfId="0" applyNumberFormat="1" applyFont="1"/>
    <xf numFmtId="41" fontId="9" fillId="0" borderId="0" xfId="0" applyNumberFormat="1" applyFont="1"/>
    <xf numFmtId="43" fontId="17" fillId="0" borderId="0" xfId="0" applyNumberFormat="1" applyFont="1"/>
    <xf numFmtId="0" fontId="19" fillId="0" borderId="0" xfId="0" applyFont="1"/>
    <xf numFmtId="0" fontId="17" fillId="0" borderId="0" xfId="0" applyFont="1" applyAlignment="1">
      <alignment horizontal="left"/>
    </xf>
    <xf numFmtId="0" fontId="17" fillId="4" borderId="0" xfId="0" applyFont="1" applyFill="1"/>
    <xf numFmtId="3" fontId="9" fillId="0" borderId="0" xfId="0" applyNumberFormat="1" applyFont="1"/>
    <xf numFmtId="43" fontId="9" fillId="0" borderId="2" xfId="0" applyNumberFormat="1" applyFont="1" applyBorder="1"/>
    <xf numFmtId="43" fontId="9" fillId="0" borderId="0" xfId="0" applyNumberFormat="1" applyFont="1"/>
    <xf numFmtId="3" fontId="9" fillId="0" borderId="1" xfId="0" applyNumberFormat="1" applyFont="1" applyBorder="1"/>
    <xf numFmtId="167" fontId="17" fillId="0" borderId="1" xfId="0" applyNumberFormat="1" applyFont="1" applyBorder="1"/>
    <xf numFmtId="41" fontId="17" fillId="0" borderId="1" xfId="0" applyNumberFormat="1" applyFont="1" applyBorder="1"/>
    <xf numFmtId="43" fontId="17" fillId="0" borderId="1" xfId="0" applyNumberFormat="1" applyFont="1" applyBorder="1"/>
    <xf numFmtId="41" fontId="20" fillId="0" borderId="0" xfId="0" applyNumberFormat="1" applyFont="1"/>
    <xf numFmtId="41" fontId="17" fillId="5" borderId="0" xfId="0" applyNumberFormat="1" applyFont="1" applyFill="1"/>
    <xf numFmtId="41" fontId="17" fillId="2" borderId="0" xfId="0" applyNumberFormat="1" applyFont="1" applyFill="1"/>
    <xf numFmtId="3" fontId="17" fillId="0" borderId="0" xfId="0" applyNumberFormat="1" applyFont="1" applyAlignment="1">
      <alignment horizontal="left" indent="1"/>
    </xf>
    <xf numFmtId="167" fontId="9" fillId="0" borderId="1" xfId="0" applyNumberFormat="1" applyFont="1" applyBorder="1"/>
    <xf numFmtId="41" fontId="9" fillId="0" borderId="1" xfId="0" applyNumberFormat="1" applyFont="1" applyBorder="1"/>
    <xf numFmtId="43" fontId="9" fillId="0" borderId="1" xfId="0" applyNumberFormat="1" applyFont="1" applyBorder="1"/>
    <xf numFmtId="0" fontId="9" fillId="0" borderId="0" xfId="0" applyFont="1" applyAlignment="1">
      <alignment horizontal="left" indent="1"/>
    </xf>
    <xf numFmtId="41" fontId="17" fillId="0" borderId="3" xfId="0" applyNumberFormat="1" applyFont="1" applyBorder="1"/>
    <xf numFmtId="43" fontId="17" fillId="0" borderId="3" xfId="0" applyNumberFormat="1" applyFont="1" applyBorder="1"/>
    <xf numFmtId="41" fontId="22" fillId="3" borderId="0" xfId="0" applyNumberFormat="1" applyFont="1" applyFill="1"/>
    <xf numFmtId="3" fontId="20" fillId="3" borderId="0" xfId="0" applyNumberFormat="1" applyFont="1" applyFill="1"/>
    <xf numFmtId="0" fontId="23" fillId="3" borderId="0" xfId="0" applyFont="1" applyFill="1"/>
    <xf numFmtId="41" fontId="23" fillId="3" borderId="0" xfId="0" applyNumberFormat="1" applyFont="1" applyFill="1"/>
    <xf numFmtId="41" fontId="9" fillId="0" borderId="3" xfId="0" applyNumberFormat="1" applyFont="1" applyBorder="1"/>
    <xf numFmtId="43" fontId="9" fillId="0" borderId="3" xfId="0" applyNumberFormat="1" applyFont="1" applyBorder="1"/>
    <xf numFmtId="164" fontId="9" fillId="0" borderId="0" xfId="0" applyNumberFormat="1" applyFont="1"/>
    <xf numFmtId="43" fontId="20" fillId="0" borderId="0" xfId="0" applyNumberFormat="1" applyFont="1"/>
    <xf numFmtId="4" fontId="17" fillId="0" borderId="0" xfId="0" applyNumberFormat="1" applyFont="1"/>
    <xf numFmtId="0" fontId="9" fillId="0" borderId="0" xfId="0" applyFont="1" applyAlignment="1">
      <alignment horizontal="left" wrapText="1"/>
    </xf>
    <xf numFmtId="4" fontId="9" fillId="0" borderId="0" xfId="0" applyNumberFormat="1" applyFont="1"/>
    <xf numFmtId="4" fontId="9" fillId="0" borderId="0" xfId="1" applyNumberFormat="1" applyFont="1" applyFill="1" applyBorder="1"/>
    <xf numFmtId="43" fontId="9" fillId="0" borderId="0" xfId="1" applyFont="1" applyFill="1" applyBorder="1"/>
    <xf numFmtId="0" fontId="9" fillId="0" borderId="0" xfId="0" applyFont="1" applyAlignment="1">
      <alignment horizontal="right"/>
    </xf>
    <xf numFmtId="4" fontId="7" fillId="0" borderId="0" xfId="0" applyNumberFormat="1" applyFont="1"/>
    <xf numFmtId="0" fontId="18" fillId="0" borderId="0" xfId="0" applyFont="1" applyAlignment="1">
      <alignment horizontal="left" wrapText="1"/>
    </xf>
    <xf numFmtId="4" fontId="18" fillId="0" borderId="0" xfId="1" applyNumberFormat="1" applyFont="1" applyFill="1" applyBorder="1"/>
    <xf numFmtId="4" fontId="18" fillId="0" borderId="0" xfId="0" applyNumberFormat="1" applyFont="1"/>
    <xf numFmtId="41" fontId="22" fillId="0" borderId="0" xfId="0" applyNumberFormat="1" applyFont="1"/>
    <xf numFmtId="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1" fontId="26" fillId="0" borderId="0" xfId="0" applyNumberFormat="1" applyFont="1"/>
    <xf numFmtId="41" fontId="27" fillId="0" borderId="0" xfId="0" applyNumberFormat="1" applyFont="1"/>
    <xf numFmtId="41" fontId="28" fillId="0" borderId="0" xfId="0" applyNumberFormat="1" applyFont="1"/>
    <xf numFmtId="0" fontId="9" fillId="0" borderId="0" xfId="0" applyFont="1" applyAlignment="1">
      <alignment horizontal="right" wrapText="1"/>
    </xf>
    <xf numFmtId="169" fontId="9" fillId="0" borderId="1" xfId="0" applyNumberFormat="1" applyFont="1" applyBorder="1"/>
    <xf numFmtId="170" fontId="17" fillId="0" borderId="0" xfId="2" applyNumberFormat="1" applyFont="1" applyFill="1" applyBorder="1"/>
    <xf numFmtId="0" fontId="9" fillId="0" borderId="0" xfId="0" applyFont="1" applyAlignment="1">
      <alignment wrapText="1"/>
    </xf>
    <xf numFmtId="165" fontId="20" fillId="0" borderId="0" xfId="0" applyNumberFormat="1" applyFont="1"/>
    <xf numFmtId="0" fontId="17" fillId="0" borderId="0" xfId="0" applyFont="1" applyAlignment="1">
      <alignment horizontal="left" indent="1"/>
    </xf>
    <xf numFmtId="3" fontId="9" fillId="0" borderId="0" xfId="0" applyNumberFormat="1" applyFont="1" applyAlignment="1">
      <alignment horizontal="right"/>
    </xf>
    <xf numFmtId="41" fontId="17" fillId="6" borderId="0" xfId="0" applyNumberFormat="1" applyFont="1" applyFill="1"/>
    <xf numFmtId="3" fontId="6" fillId="0" borderId="0" xfId="0" applyNumberFormat="1" applyFont="1" applyAlignment="1">
      <alignment horizontal="left"/>
    </xf>
    <xf numFmtId="43" fontId="9" fillId="0" borderId="1" xfId="0" applyNumberFormat="1" applyFont="1" applyBorder="1" applyAlignment="1">
      <alignment horizontal="center" wrapText="1"/>
    </xf>
    <xf numFmtId="0" fontId="29" fillId="0" borderId="0" xfId="0" applyFont="1" applyAlignment="1">
      <alignment horizontal="left"/>
    </xf>
    <xf numFmtId="0" fontId="29" fillId="0" borderId="0" xfId="0" applyFont="1"/>
    <xf numFmtId="41" fontId="29" fillId="0" borderId="0" xfId="0" applyNumberFormat="1" applyFont="1"/>
    <xf numFmtId="43" fontId="29" fillId="0" borderId="0" xfId="0" applyNumberFormat="1" applyFont="1"/>
    <xf numFmtId="43" fontId="5" fillId="0" borderId="0" xfId="0" applyNumberFormat="1" applyFont="1"/>
    <xf numFmtId="0" fontId="5" fillId="0" borderId="0" xfId="0" applyFont="1"/>
    <xf numFmtId="43" fontId="7" fillId="0" borderId="0" xfId="0" applyNumberFormat="1" applyFont="1"/>
    <xf numFmtId="41" fontId="30" fillId="0" borderId="0" xfId="0" applyNumberFormat="1" applyFont="1"/>
    <xf numFmtId="41" fontId="30" fillId="0" borderId="3" xfId="0" applyNumberFormat="1" applyFont="1" applyBorder="1"/>
    <xf numFmtId="41" fontId="18" fillId="0" borderId="2" xfId="0" applyNumberFormat="1" applyFont="1" applyBorder="1" applyAlignment="1">
      <alignment horizontal="center"/>
    </xf>
    <xf numFmtId="43" fontId="18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43" fontId="18" fillId="0" borderId="0" xfId="0" applyNumberFormat="1" applyFont="1"/>
    <xf numFmtId="41" fontId="18" fillId="0" borderId="0" xfId="0" applyNumberFormat="1" applyFont="1" applyAlignment="1">
      <alignment horizontal="center"/>
    </xf>
    <xf numFmtId="43" fontId="18" fillId="0" borderId="0" xfId="0" applyNumberFormat="1" applyFont="1" applyAlignment="1">
      <alignment horizontal="center"/>
    </xf>
    <xf numFmtId="43" fontId="18" fillId="0" borderId="0" xfId="1" applyFont="1" applyFill="1" applyBorder="1"/>
    <xf numFmtId="0" fontId="5" fillId="0" borderId="0" xfId="0" applyFont="1" applyAlignment="1">
      <alignment horizontal="left"/>
    </xf>
    <xf numFmtId="4" fontId="5" fillId="0" borderId="0" xfId="0" applyNumberFormat="1" applyFont="1"/>
    <xf numFmtId="41" fontId="5" fillId="0" borderId="0" xfId="0" applyNumberFormat="1" applyFont="1"/>
    <xf numFmtId="0" fontId="6" fillId="0" borderId="0" xfId="0" applyFont="1" applyAlignment="1">
      <alignment horizontal="left"/>
    </xf>
    <xf numFmtId="167" fontId="0" fillId="0" borderId="0" xfId="0" applyNumberFormat="1"/>
    <xf numFmtId="41" fontId="0" fillId="0" borderId="0" xfId="0" applyNumberFormat="1"/>
    <xf numFmtId="43" fontId="0" fillId="0" borderId="0" xfId="0" applyNumberFormat="1"/>
    <xf numFmtId="0" fontId="29" fillId="0" borderId="0" xfId="0" applyFont="1" applyAlignment="1">
      <alignment horizontal="left" wrapText="1"/>
    </xf>
    <xf numFmtId="167" fontId="29" fillId="0" borderId="0" xfId="0" applyNumberFormat="1" applyFont="1" applyAlignment="1">
      <alignment horizontal="center" wrapText="1"/>
    </xf>
    <xf numFmtId="41" fontId="29" fillId="0" borderId="0" xfId="0" applyNumberFormat="1" applyFont="1" applyAlignment="1">
      <alignment horizontal="center" wrapText="1"/>
    </xf>
    <xf numFmtId="43" fontId="29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center" wrapText="1"/>
    </xf>
    <xf numFmtId="41" fontId="0" fillId="0" borderId="3" xfId="0" applyNumberFormat="1" applyBorder="1"/>
    <xf numFmtId="43" fontId="0" fillId="0" borderId="3" xfId="0" applyNumberFormat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41" fontId="9" fillId="0" borderId="2" xfId="0" applyNumberFormat="1" applyFont="1" applyBorder="1"/>
    <xf numFmtId="167" fontId="32" fillId="0" borderId="0" xfId="0" applyNumberFormat="1" applyFont="1"/>
    <xf numFmtId="41" fontId="32" fillId="0" borderId="0" xfId="0" applyNumberFormat="1" applyFont="1"/>
    <xf numFmtId="0" fontId="32" fillId="0" borderId="0" xfId="0" applyFont="1"/>
    <xf numFmtId="43" fontId="32" fillId="0" borderId="0" xfId="0" applyNumberFormat="1" applyFont="1"/>
    <xf numFmtId="43" fontId="30" fillId="0" borderId="0" xfId="0" applyNumberFormat="1" applyFont="1"/>
    <xf numFmtId="43" fontId="30" fillId="0" borderId="3" xfId="0" applyNumberFormat="1" applyFont="1" applyBorder="1"/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20" fillId="0" borderId="0" xfId="0" applyNumberFormat="1" applyFont="1"/>
    <xf numFmtId="0" fontId="23" fillId="0" borderId="0" xfId="0" applyFont="1"/>
    <xf numFmtId="41" fontId="23" fillId="0" borderId="0" xfId="0" applyNumberFormat="1" applyFont="1"/>
    <xf numFmtId="43" fontId="17" fillId="5" borderId="0" xfId="0" applyNumberFormat="1" applyFont="1" applyFill="1"/>
    <xf numFmtId="3" fontId="19" fillId="0" borderId="0" xfId="0" applyNumberFormat="1" applyFont="1"/>
    <xf numFmtId="167" fontId="17" fillId="2" borderId="0" xfId="0" applyNumberFormat="1" applyFont="1" applyFill="1"/>
    <xf numFmtId="43" fontId="17" fillId="2" borderId="0" xfId="0" applyNumberFormat="1" applyFont="1" applyFill="1"/>
    <xf numFmtId="0" fontId="19" fillId="7" borderId="0" xfId="0" applyFont="1" applyFill="1"/>
    <xf numFmtId="0" fontId="26" fillId="0" borderId="0" xfId="0" applyFont="1"/>
    <xf numFmtId="167" fontId="26" fillId="0" borderId="0" xfId="0" applyNumberFormat="1" applyFont="1"/>
    <xf numFmtId="0" fontId="9" fillId="0" borderId="1" xfId="0" applyFont="1" applyBorder="1"/>
    <xf numFmtId="167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41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center"/>
    </xf>
    <xf numFmtId="3" fontId="26" fillId="3" borderId="0" xfId="0" applyNumberFormat="1" applyFont="1" applyFill="1"/>
    <xf numFmtId="167" fontId="26" fillId="3" borderId="0" xfId="0" applyNumberFormat="1" applyFont="1" applyFill="1"/>
    <xf numFmtId="41" fontId="26" fillId="3" borderId="0" xfId="0" applyNumberFormat="1" applyFont="1" applyFill="1"/>
    <xf numFmtId="0" fontId="26" fillId="3" borderId="0" xfId="0" applyFont="1" applyFill="1"/>
    <xf numFmtId="41" fontId="26" fillId="3" borderId="3" xfId="0" applyNumberFormat="1" applyFont="1" applyFill="1" applyBorder="1"/>
    <xf numFmtId="10" fontId="26" fillId="3" borderId="0" xfId="0" applyNumberFormat="1" applyFont="1" applyFill="1"/>
    <xf numFmtId="3" fontId="17" fillId="3" borderId="0" xfId="0" applyNumberFormat="1" applyFont="1" applyFill="1"/>
    <xf numFmtId="167" fontId="17" fillId="3" borderId="0" xfId="0" applyNumberFormat="1" applyFont="1" applyFill="1"/>
    <xf numFmtId="41" fontId="17" fillId="3" borderId="0" xfId="0" applyNumberFormat="1" applyFont="1" applyFill="1"/>
    <xf numFmtId="0" fontId="17" fillId="3" borderId="0" xfId="0" applyFont="1" applyFill="1"/>
    <xf numFmtId="41" fontId="20" fillId="3" borderId="0" xfId="0" applyNumberFormat="1" applyFont="1" applyFill="1"/>
    <xf numFmtId="167" fontId="9" fillId="0" borderId="0" xfId="1" applyNumberFormat="1" applyFont="1" applyFill="1" applyBorder="1"/>
    <xf numFmtId="41" fontId="9" fillId="0" borderId="0" xfId="1" applyNumberFormat="1" applyFont="1" applyFill="1" applyBorder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9" fontId="17" fillId="0" borderId="0" xfId="0" applyNumberFormat="1" applyFont="1"/>
    <xf numFmtId="43" fontId="26" fillId="0" borderId="0" xfId="0" applyNumberFormat="1" applyFont="1"/>
    <xf numFmtId="4" fontId="26" fillId="0" borderId="0" xfId="0" applyNumberFormat="1" applyFont="1"/>
    <xf numFmtId="164" fontId="22" fillId="0" borderId="0" xfId="0" applyNumberFormat="1" applyFont="1"/>
    <xf numFmtId="167" fontId="22" fillId="0" borderId="0" xfId="0" applyNumberFormat="1" applyFont="1"/>
    <xf numFmtId="4" fontId="17" fillId="0" borderId="0" xfId="0" applyNumberFormat="1" applyFont="1" applyAlignment="1">
      <alignment horizontal="center"/>
    </xf>
    <xf numFmtId="4" fontId="17" fillId="0" borderId="0" xfId="1" applyNumberFormat="1" applyFont="1" applyFill="1" applyBorder="1"/>
    <xf numFmtId="164" fontId="33" fillId="0" borderId="0" xfId="0" applyNumberFormat="1" applyFont="1"/>
    <xf numFmtId="43" fontId="34" fillId="0" borderId="0" xfId="0" applyNumberFormat="1" applyFont="1"/>
    <xf numFmtId="0" fontId="31" fillId="0" borderId="0" xfId="0" applyFont="1" applyAlignment="1">
      <alignment horizontal="left"/>
    </xf>
    <xf numFmtId="41" fontId="18" fillId="0" borderId="3" xfId="1" applyNumberFormat="1" applyFont="1" applyFill="1" applyBorder="1"/>
    <xf numFmtId="41" fontId="18" fillId="0" borderId="2" xfId="1" applyNumberFormat="1" applyFont="1" applyFill="1" applyBorder="1"/>
    <xf numFmtId="43" fontId="18" fillId="0" borderId="2" xfId="1" applyFont="1" applyFill="1" applyBorder="1"/>
    <xf numFmtId="0" fontId="18" fillId="8" borderId="0" xfId="0" applyFont="1" applyFill="1" applyAlignment="1">
      <alignment horizontal="left"/>
    </xf>
    <xf numFmtId="167" fontId="0" fillId="8" borderId="0" xfId="0" applyNumberFormat="1" applyFill="1"/>
    <xf numFmtId="41" fontId="0" fillId="8" borderId="0" xfId="0" applyNumberFormat="1" applyFill="1"/>
    <xf numFmtId="43" fontId="0" fillId="8" borderId="0" xfId="0" applyNumberFormat="1" applyFill="1"/>
    <xf numFmtId="0" fontId="14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right"/>
    </xf>
    <xf numFmtId="3" fontId="26" fillId="3" borderId="0" xfId="0" applyNumberFormat="1" applyFont="1" applyFill="1" applyAlignment="1">
      <alignment horizontal="left" indent="2"/>
    </xf>
    <xf numFmtId="168" fontId="9" fillId="3" borderId="0" xfId="0" applyNumberFormat="1" applyFont="1" applyFill="1" applyAlignment="1">
      <alignment horizontal="center"/>
    </xf>
    <xf numFmtId="41" fontId="9" fillId="3" borderId="1" xfId="0" applyNumberFormat="1" applyFont="1" applyFill="1" applyBorder="1" applyAlignment="1">
      <alignment horizontal="center" wrapText="1"/>
    </xf>
    <xf numFmtId="41" fontId="9" fillId="3" borderId="0" xfId="0" applyNumberFormat="1" applyFont="1" applyFill="1"/>
    <xf numFmtId="41" fontId="9" fillId="3" borderId="1" xfId="0" applyNumberFormat="1" applyFont="1" applyFill="1" applyBorder="1"/>
    <xf numFmtId="41" fontId="36" fillId="3" borderId="1" xfId="0" applyNumberFormat="1" applyFont="1" applyFill="1" applyBorder="1"/>
    <xf numFmtId="41" fontId="9" fillId="3" borderId="3" xfId="0" applyNumberFormat="1" applyFont="1" applyFill="1" applyBorder="1"/>
    <xf numFmtId="41" fontId="9" fillId="3" borderId="0" xfId="1" applyNumberFormat="1" applyFont="1" applyFill="1" applyBorder="1"/>
    <xf numFmtId="41" fontId="17" fillId="3" borderId="3" xfId="0" applyNumberFormat="1" applyFont="1" applyFill="1" applyBorder="1"/>
    <xf numFmtId="4" fontId="17" fillId="3" borderId="0" xfId="0" applyNumberFormat="1" applyFont="1" applyFill="1"/>
    <xf numFmtId="4" fontId="9" fillId="3" borderId="0" xfId="0" applyNumberFormat="1" applyFont="1" applyFill="1"/>
    <xf numFmtId="0" fontId="9" fillId="3" borderId="0" xfId="0" applyFont="1" applyFill="1"/>
    <xf numFmtId="4" fontId="9" fillId="3" borderId="0" xfId="1" applyNumberFormat="1" applyFont="1" applyFill="1" applyBorder="1"/>
    <xf numFmtId="0" fontId="9" fillId="2" borderId="0" xfId="0" applyFont="1" applyFill="1" applyAlignment="1">
      <alignment horizontal="left" indent="1"/>
    </xf>
    <xf numFmtId="0" fontId="9" fillId="2" borderId="0" xfId="0" applyFont="1" applyFill="1" applyAlignment="1">
      <alignment horizontal="left" indent="2"/>
    </xf>
    <xf numFmtId="41" fontId="17" fillId="3" borderId="1" xfId="0" applyNumberFormat="1" applyFont="1" applyFill="1" applyBorder="1"/>
    <xf numFmtId="4" fontId="9" fillId="3" borderId="0" xfId="0" applyNumberFormat="1" applyFont="1" applyFill="1" applyAlignment="1">
      <alignment horizontal="center"/>
    </xf>
    <xf numFmtId="4" fontId="26" fillId="3" borderId="0" xfId="0" applyNumberFormat="1" applyFont="1" applyFill="1"/>
    <xf numFmtId="4" fontId="17" fillId="3" borderId="0" xfId="0" applyNumberFormat="1" applyFont="1" applyFill="1" applyAlignment="1">
      <alignment horizontal="center"/>
    </xf>
    <xf numFmtId="4" fontId="17" fillId="3" borderId="0" xfId="1" applyNumberFormat="1" applyFont="1" applyFill="1" applyBorder="1"/>
    <xf numFmtId="41" fontId="7" fillId="3" borderId="0" xfId="0" applyNumberFormat="1" applyFont="1" applyFill="1"/>
    <xf numFmtId="168" fontId="8" fillId="3" borderId="0" xfId="0" applyNumberFormat="1" applyFont="1" applyFill="1" applyAlignment="1">
      <alignment horizontal="center"/>
    </xf>
    <xf numFmtId="41" fontId="10" fillId="3" borderId="0" xfId="0" applyNumberFormat="1" applyFont="1" applyFill="1"/>
    <xf numFmtId="41" fontId="4" fillId="3" borderId="0" xfId="0" applyNumberFormat="1" applyFont="1" applyFill="1"/>
    <xf numFmtId="41" fontId="10" fillId="3" borderId="1" xfId="0" applyNumberFormat="1" applyFont="1" applyFill="1" applyBorder="1"/>
    <xf numFmtId="41" fontId="4" fillId="3" borderId="1" xfId="0" applyNumberFormat="1" applyFont="1" applyFill="1" applyBorder="1"/>
    <xf numFmtId="41" fontId="10" fillId="3" borderId="3" xfId="0" applyNumberFormat="1" applyFont="1" applyFill="1" applyBorder="1"/>
    <xf numFmtId="4" fontId="18" fillId="3" borderId="0" xfId="0" applyNumberFormat="1" applyFont="1" applyFill="1"/>
    <xf numFmtId="4" fontId="7" fillId="3" borderId="0" xfId="0" applyNumberFormat="1" applyFont="1" applyFill="1"/>
    <xf numFmtId="0" fontId="18" fillId="3" borderId="0" xfId="0" applyFont="1" applyFill="1"/>
    <xf numFmtId="4" fontId="18" fillId="3" borderId="0" xfId="1" applyNumberFormat="1" applyFont="1" applyFill="1" applyBorder="1"/>
    <xf numFmtId="41" fontId="9" fillId="3" borderId="0" xfId="0" applyNumberFormat="1" applyFont="1" applyFill="1" applyAlignment="1">
      <alignment horizontal="right"/>
    </xf>
    <xf numFmtId="167" fontId="9" fillId="3" borderId="0" xfId="0" applyNumberFormat="1" applyFont="1" applyFill="1" applyAlignment="1">
      <alignment horizontal="center"/>
    </xf>
    <xf numFmtId="10" fontId="9" fillId="3" borderId="0" xfId="2" applyNumberFormat="1" applyFont="1" applyFill="1" applyBorder="1" applyAlignment="1"/>
    <xf numFmtId="10" fontId="9" fillId="3" borderId="0" xfId="2" applyNumberFormat="1" applyFont="1" applyFill="1" applyBorder="1"/>
    <xf numFmtId="167" fontId="9" fillId="3" borderId="0" xfId="0" applyNumberFormat="1" applyFont="1" applyFill="1"/>
    <xf numFmtId="0" fontId="37" fillId="0" borderId="0" xfId="0" applyFont="1" applyAlignment="1">
      <alignment horizontal="left"/>
    </xf>
    <xf numFmtId="3" fontId="21" fillId="3" borderId="0" xfId="0" applyNumberFormat="1" applyFont="1" applyFill="1"/>
    <xf numFmtId="3" fontId="21" fillId="3" borderId="0" xfId="0" applyNumberFormat="1" applyFont="1" applyFill="1" applyAlignment="1">
      <alignment horizontal="left" indent="2"/>
    </xf>
    <xf numFmtId="3" fontId="32" fillId="3" borderId="0" xfId="0" applyNumberFormat="1" applyFont="1" applyFill="1"/>
    <xf numFmtId="3" fontId="12" fillId="3" borderId="0" xfId="0" applyNumberFormat="1" applyFont="1" applyFill="1"/>
    <xf numFmtId="0" fontId="38" fillId="3" borderId="0" xfId="0" applyFont="1" applyFill="1"/>
    <xf numFmtId="41" fontId="7" fillId="0" borderId="3" xfId="0" applyNumberFormat="1" applyFont="1" applyBorder="1"/>
    <xf numFmtId="43" fontId="7" fillId="0" borderId="3" xfId="0" applyNumberFormat="1" applyFont="1" applyBorder="1"/>
    <xf numFmtId="41" fontId="7" fillId="0" borderId="2" xfId="0" applyNumberFormat="1" applyFont="1" applyBorder="1"/>
    <xf numFmtId="43" fontId="7" fillId="0" borderId="2" xfId="0" applyNumberFormat="1" applyFont="1" applyBorder="1"/>
    <xf numFmtId="0" fontId="19" fillId="8" borderId="0" xfId="0" applyFont="1" applyFill="1"/>
    <xf numFmtId="167" fontId="17" fillId="8" borderId="0" xfId="0" applyNumberFormat="1" applyFont="1" applyFill="1"/>
    <xf numFmtId="41" fontId="17" fillId="8" borderId="0" xfId="0" applyNumberFormat="1" applyFont="1" applyFill="1"/>
    <xf numFmtId="43" fontId="17" fillId="8" borderId="0" xfId="0" applyNumberFormat="1" applyFont="1" applyFill="1"/>
    <xf numFmtId="3" fontId="17" fillId="8" borderId="0" xfId="0" applyNumberFormat="1" applyFont="1" applyFill="1"/>
    <xf numFmtId="0" fontId="17" fillId="8" borderId="0" xfId="0" applyFont="1" applyFill="1"/>
    <xf numFmtId="3" fontId="17" fillId="8" borderId="0" xfId="0" applyNumberFormat="1" applyFont="1" applyFill="1" applyAlignment="1">
      <alignment horizontal="left" indent="1"/>
    </xf>
    <xf numFmtId="3" fontId="9" fillId="8" borderId="1" xfId="0" applyNumberFormat="1" applyFont="1" applyFill="1" applyBorder="1"/>
    <xf numFmtId="167" fontId="9" fillId="8" borderId="1" xfId="0" applyNumberFormat="1" applyFont="1" applyFill="1" applyBorder="1"/>
    <xf numFmtId="41" fontId="9" fillId="8" borderId="1" xfId="0" applyNumberFormat="1" applyFont="1" applyFill="1" applyBorder="1"/>
    <xf numFmtId="43" fontId="9" fillId="8" borderId="1" xfId="0" applyNumberFormat="1" applyFont="1" applyFill="1" applyBorder="1"/>
    <xf numFmtId="3" fontId="20" fillId="8" borderId="0" xfId="0" applyNumberFormat="1" applyFont="1" applyFill="1"/>
    <xf numFmtId="41" fontId="20" fillId="8" borderId="0" xfId="0" applyNumberFormat="1" applyFont="1" applyFill="1"/>
    <xf numFmtId="41" fontId="32" fillId="3" borderId="0" xfId="0" applyNumberFormat="1" applyFont="1" applyFill="1"/>
    <xf numFmtId="41" fontId="21" fillId="3" borderId="0" xfId="0" applyNumberFormat="1" applyFont="1" applyFill="1"/>
    <xf numFmtId="41" fontId="21" fillId="3" borderId="3" xfId="0" applyNumberFormat="1" applyFont="1" applyFill="1" applyBorder="1"/>
    <xf numFmtId="41" fontId="33" fillId="3" borderId="0" xfId="0" applyNumberFormat="1" applyFont="1" applyFill="1"/>
    <xf numFmtId="41" fontId="12" fillId="3" borderId="0" xfId="0" applyNumberFormat="1" applyFont="1" applyFill="1"/>
    <xf numFmtId="41" fontId="38" fillId="3" borderId="0" xfId="0" applyNumberFormat="1" applyFont="1" applyFill="1"/>
    <xf numFmtId="10" fontId="21" fillId="3" borderId="0" xfId="0" applyNumberFormat="1" applyFont="1" applyFill="1"/>
    <xf numFmtId="0" fontId="17" fillId="5" borderId="0" xfId="0" applyFont="1" applyFill="1"/>
    <xf numFmtId="167" fontId="17" fillId="5" borderId="0" xfId="0" applyNumberFormat="1" applyFont="1" applyFill="1"/>
    <xf numFmtId="0" fontId="9" fillId="5" borderId="0" xfId="0" applyFont="1" applyFill="1"/>
    <xf numFmtId="43" fontId="9" fillId="5" borderId="0" xfId="0" applyNumberFormat="1" applyFont="1" applyFill="1"/>
    <xf numFmtId="0" fontId="10" fillId="5" borderId="0" xfId="0" applyFont="1" applyFill="1"/>
    <xf numFmtId="0" fontId="4" fillId="5" borderId="0" xfId="0" applyFont="1" applyFill="1"/>
    <xf numFmtId="9" fontId="9" fillId="0" borderId="0" xfId="0" applyNumberFormat="1" applyFont="1"/>
    <xf numFmtId="165" fontId="9" fillId="0" borderId="0" xfId="1" applyNumberFormat="1" applyFont="1" applyFill="1" applyBorder="1" applyAlignment="1"/>
    <xf numFmtId="4" fontId="0" fillId="0" borderId="0" xfId="0" applyNumberFormat="1"/>
    <xf numFmtId="169" fontId="9" fillId="0" borderId="0" xfId="0" applyNumberFormat="1" applyFont="1"/>
    <xf numFmtId="43" fontId="39" fillId="0" borderId="0" xfId="0" applyNumberFormat="1" applyFont="1"/>
    <xf numFmtId="10" fontId="39" fillId="0" borderId="0" xfId="0" applyNumberFormat="1" applyFont="1"/>
    <xf numFmtId="0" fontId="19" fillId="9" borderId="0" xfId="0" applyFont="1" applyFill="1"/>
    <xf numFmtId="41" fontId="26" fillId="0" borderId="1" xfId="0" applyNumberFormat="1" applyFont="1" applyBorder="1" applyAlignment="1">
      <alignment horizontal="right"/>
    </xf>
    <xf numFmtId="10" fontId="26" fillId="0" borderId="1" xfId="0" applyNumberFormat="1" applyFont="1" applyBorder="1"/>
    <xf numFmtId="3" fontId="9" fillId="0" borderId="0" xfId="0" applyNumberFormat="1" applyFont="1" applyAlignment="1">
      <alignment horizontal="left" indent="1"/>
    </xf>
    <xf numFmtId="41" fontId="30" fillId="0" borderId="0" xfId="1" applyNumberFormat="1" applyFont="1" applyFill="1" applyBorder="1"/>
    <xf numFmtId="41" fontId="30" fillId="0" borderId="0" xfId="0" applyNumberFormat="1" applyFont="1" applyAlignment="1">
      <alignment horizontal="center"/>
    </xf>
    <xf numFmtId="43" fontId="17" fillId="3" borderId="0" xfId="0" applyNumberFormat="1" applyFont="1" applyFill="1"/>
    <xf numFmtId="3" fontId="17" fillId="3" borderId="0" xfId="0" applyNumberFormat="1" applyFont="1" applyFill="1" applyAlignment="1">
      <alignment horizontal="left" indent="1"/>
    </xf>
    <xf numFmtId="43" fontId="4" fillId="3" borderId="0" xfId="0" applyNumberFormat="1" applyFont="1" applyFill="1"/>
    <xf numFmtId="43" fontId="17" fillId="6" borderId="0" xfId="0" applyNumberFormat="1" applyFont="1" applyFill="1"/>
    <xf numFmtId="43" fontId="22" fillId="0" borderId="0" xfId="0" applyNumberFormat="1" applyFont="1"/>
    <xf numFmtId="3" fontId="9" fillId="6" borderId="0" xfId="0" applyNumberFormat="1" applyFont="1" applyFill="1" applyAlignment="1">
      <alignment horizontal="right"/>
    </xf>
    <xf numFmtId="167" fontId="9" fillId="6" borderId="0" xfId="0" applyNumberFormat="1" applyFont="1" applyFill="1"/>
    <xf numFmtId="0" fontId="17" fillId="6" borderId="0" xfId="0" applyFont="1" applyFill="1"/>
    <xf numFmtId="166" fontId="17" fillId="0" borderId="0" xfId="0" applyNumberFormat="1" applyFont="1"/>
    <xf numFmtId="0" fontId="9" fillId="6" borderId="0" xfId="0" applyFont="1" applyFill="1" applyAlignment="1">
      <alignment horizontal="right"/>
    </xf>
    <xf numFmtId="4" fontId="9" fillId="6" borderId="0" xfId="0" applyNumberFormat="1" applyFont="1" applyFill="1"/>
    <xf numFmtId="4" fontId="17" fillId="6" borderId="0" xfId="0" applyNumberFormat="1" applyFont="1" applyFill="1"/>
    <xf numFmtId="43" fontId="9" fillId="10" borderId="0" xfId="1" applyFont="1" applyFill="1" applyBorder="1" applyAlignment="1"/>
    <xf numFmtId="43" fontId="9" fillId="10" borderId="0" xfId="1" applyFont="1" applyFill="1" applyBorder="1"/>
    <xf numFmtId="165" fontId="9" fillId="10" borderId="0" xfId="1" applyNumberFormat="1" applyFont="1" applyFill="1" applyBorder="1" applyAlignment="1"/>
    <xf numFmtId="0" fontId="0" fillId="0" borderId="3" xfId="0" applyBorder="1"/>
    <xf numFmtId="0" fontId="42" fillId="0" borderId="0" xfId="0" applyFont="1"/>
    <xf numFmtId="0" fontId="43" fillId="0" borderId="3" xfId="0" applyFont="1" applyBorder="1"/>
    <xf numFmtId="0" fontId="0" fillId="8" borderId="0" xfId="0" applyFill="1"/>
    <xf numFmtId="0" fontId="44" fillId="8" borderId="0" xfId="0" applyFont="1" applyFill="1" applyAlignment="1">
      <alignment horizontal="right"/>
    </xf>
    <xf numFmtId="0" fontId="45" fillId="8" borderId="0" xfId="0" applyFont="1" applyFill="1" applyAlignment="1">
      <alignment horizontal="right"/>
    </xf>
    <xf numFmtId="0" fontId="46" fillId="0" borderId="0" xfId="0" applyFont="1"/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43" fontId="9" fillId="0" borderId="5" xfId="0" applyNumberFormat="1" applyFont="1" applyBorder="1" applyAlignment="1">
      <alignment wrapText="1"/>
    </xf>
    <xf numFmtId="43" fontId="9" fillId="0" borderId="5" xfId="0" applyNumberFormat="1" applyFont="1" applyBorder="1" applyAlignment="1">
      <alignment horizontal="left" wrapText="1"/>
    </xf>
    <xf numFmtId="43" fontId="9" fillId="0" borderId="6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9" fillId="0" borderId="7" xfId="0" applyFont="1" applyBorder="1"/>
    <xf numFmtId="0" fontId="0" fillId="0" borderId="8" xfId="0" applyBorder="1"/>
    <xf numFmtId="43" fontId="0" fillId="0" borderId="8" xfId="0" applyNumberFormat="1" applyBorder="1"/>
    <xf numFmtId="43" fontId="9" fillId="0" borderId="9" xfId="0" applyNumberFormat="1" applyFont="1" applyBorder="1"/>
    <xf numFmtId="0" fontId="9" fillId="0" borderId="10" xfId="0" applyFont="1" applyBorder="1"/>
    <xf numFmtId="0" fontId="0" fillId="0" borderId="11" xfId="0" applyBorder="1"/>
    <xf numFmtId="0" fontId="9" fillId="0" borderId="15" xfId="0" applyFont="1" applyBorder="1"/>
    <xf numFmtId="0" fontId="9" fillId="0" borderId="16" xfId="0" applyFont="1" applyBorder="1"/>
    <xf numFmtId="43" fontId="17" fillId="11" borderId="0" xfId="0" applyNumberFormat="1" applyFont="1" applyFill="1"/>
    <xf numFmtId="0" fontId="4" fillId="0" borderId="0" xfId="0" applyFont="1" applyAlignment="1">
      <alignment horizontal="left" indent="1"/>
    </xf>
    <xf numFmtId="3" fontId="4" fillId="0" borderId="0" xfId="0" applyNumberFormat="1" applyFont="1" applyAlignment="1">
      <alignment horizontal="left" vertical="top" indent="1"/>
    </xf>
    <xf numFmtId="0" fontId="49" fillId="0" borderId="0" xfId="0" applyFont="1"/>
    <xf numFmtId="0" fontId="49" fillId="0" borderId="0" xfId="0" quotePrefix="1" applyFont="1"/>
    <xf numFmtId="41" fontId="21" fillId="0" borderId="1" xfId="0" applyNumberFormat="1" applyFont="1" applyBorder="1" applyAlignment="1">
      <alignment horizontal="right"/>
    </xf>
    <xf numFmtId="0" fontId="50" fillId="0" borderId="0" xfId="0" applyFont="1"/>
    <xf numFmtId="4" fontId="4" fillId="3" borderId="0" xfId="0" applyNumberFormat="1" applyFont="1" applyFill="1"/>
    <xf numFmtId="4" fontId="4" fillId="0" borderId="0" xfId="0" applyNumberFormat="1" applyFont="1"/>
    <xf numFmtId="41" fontId="4" fillId="5" borderId="0" xfId="0" applyNumberFormat="1" applyFont="1" applyFill="1"/>
    <xf numFmtId="3" fontId="12" fillId="0" borderId="0" xfId="0" applyNumberFormat="1" applyFont="1"/>
    <xf numFmtId="43" fontId="4" fillId="0" borderId="0" xfId="1" applyFont="1" applyFill="1"/>
    <xf numFmtId="0" fontId="19" fillId="43" borderId="0" xfId="0" applyFont="1" applyFill="1"/>
    <xf numFmtId="3" fontId="9" fillId="0" borderId="3" xfId="0" applyNumberFormat="1" applyFont="1" applyBorder="1"/>
    <xf numFmtId="167" fontId="9" fillId="0" borderId="3" xfId="0" applyNumberFormat="1" applyFont="1" applyBorder="1"/>
    <xf numFmtId="165" fontId="4" fillId="0" borderId="0" xfId="1" applyNumberFormat="1" applyFont="1" applyFill="1"/>
    <xf numFmtId="165" fontId="0" fillId="0" borderId="0" xfId="1" applyNumberFormat="1" applyFont="1" applyFill="1"/>
    <xf numFmtId="166" fontId="0" fillId="0" borderId="0" xfId="1" applyNumberFormat="1" applyFont="1" applyFill="1" applyBorder="1"/>
    <xf numFmtId="0" fontId="68" fillId="0" borderId="0" xfId="0" applyFont="1" applyAlignment="1">
      <alignment horizontal="center"/>
    </xf>
    <xf numFmtId="43" fontId="17" fillId="0" borderId="0" xfId="1" applyFont="1" applyFill="1" applyBorder="1"/>
    <xf numFmtId="43" fontId="4" fillId="44" borderId="0" xfId="0" applyNumberFormat="1" applyFont="1" applyFill="1"/>
    <xf numFmtId="43" fontId="9" fillId="44" borderId="0" xfId="0" applyNumberFormat="1" applyFont="1" applyFill="1"/>
    <xf numFmtId="43" fontId="4" fillId="44" borderId="3" xfId="0" applyNumberFormat="1" applyFont="1" applyFill="1" applyBorder="1"/>
    <xf numFmtId="43" fontId="9" fillId="44" borderId="1" xfId="0" applyNumberFormat="1" applyFont="1" applyFill="1" applyBorder="1"/>
    <xf numFmtId="0" fontId="26" fillId="44" borderId="0" xfId="0" applyFont="1" applyFill="1"/>
    <xf numFmtId="43" fontId="9" fillId="44" borderId="3" xfId="0" applyNumberFormat="1" applyFont="1" applyFill="1" applyBorder="1"/>
    <xf numFmtId="41" fontId="4" fillId="44" borderId="0" xfId="0" applyNumberFormat="1" applyFont="1" applyFill="1"/>
    <xf numFmtId="43" fontId="12" fillId="44" borderId="0" xfId="0" applyNumberFormat="1" applyFont="1" applyFill="1"/>
    <xf numFmtId="0" fontId="0" fillId="45" borderId="0" xfId="0" applyFill="1"/>
    <xf numFmtId="0" fontId="7" fillId="45" borderId="0" xfId="0" applyFont="1" applyFill="1" applyAlignment="1">
      <alignment horizontal="center"/>
    </xf>
    <xf numFmtId="0" fontId="9" fillId="45" borderId="0" xfId="0" applyFont="1" applyFill="1" applyAlignment="1">
      <alignment horizontal="center" wrapText="1"/>
    </xf>
    <xf numFmtId="0" fontId="29" fillId="45" borderId="0" xfId="0" applyFont="1" applyFill="1" applyAlignment="1">
      <alignment horizontal="center" wrapText="1"/>
    </xf>
    <xf numFmtId="41" fontId="21" fillId="45" borderId="0" xfId="0" applyNumberFormat="1" applyFont="1" applyFill="1"/>
    <xf numFmtId="41" fontId="0" fillId="45" borderId="0" xfId="0" applyNumberFormat="1" applyFill="1"/>
    <xf numFmtId="173" fontId="0" fillId="45" borderId="0" xfId="47" applyNumberFormat="1" applyFont="1" applyFill="1" applyBorder="1"/>
    <xf numFmtId="41" fontId="32" fillId="45" borderId="0" xfId="0" applyNumberFormat="1" applyFont="1" applyFill="1"/>
    <xf numFmtId="41" fontId="9" fillId="45" borderId="0" xfId="0" applyNumberFormat="1" applyFont="1" applyFill="1"/>
    <xf numFmtId="173" fontId="9" fillId="45" borderId="0" xfId="47" applyNumberFormat="1" applyFont="1" applyFill="1" applyBorder="1"/>
    <xf numFmtId="0" fontId="9" fillId="45" borderId="0" xfId="0" applyFont="1" applyFill="1"/>
    <xf numFmtId="0" fontId="0" fillId="46" borderId="0" xfId="0" applyFill="1"/>
    <xf numFmtId="0" fontId="7" fillId="46" borderId="0" xfId="0" applyFont="1" applyFill="1" applyAlignment="1">
      <alignment horizontal="center"/>
    </xf>
    <xf numFmtId="0" fontId="9" fillId="46" borderId="0" xfId="0" applyFont="1" applyFill="1" applyAlignment="1">
      <alignment horizontal="center" wrapText="1"/>
    </xf>
    <xf numFmtId="0" fontId="29" fillId="46" borderId="0" xfId="0" applyFont="1" applyFill="1" applyAlignment="1">
      <alignment horizontal="center" wrapText="1"/>
    </xf>
    <xf numFmtId="44" fontId="0" fillId="46" borderId="0" xfId="47" applyFont="1" applyFill="1" applyBorder="1"/>
    <xf numFmtId="165" fontId="0" fillId="46" borderId="0" xfId="1" applyNumberFormat="1" applyFont="1" applyFill="1" applyBorder="1"/>
    <xf numFmtId="165" fontId="32" fillId="46" borderId="0" xfId="1" applyNumberFormat="1" applyFont="1" applyFill="1" applyBorder="1"/>
    <xf numFmtId="173" fontId="9" fillId="46" borderId="0" xfId="47" applyNumberFormat="1" applyFont="1" applyFill="1" applyBorder="1"/>
    <xf numFmtId="0" fontId="9" fillId="46" borderId="0" xfId="0" applyFont="1" applyFill="1"/>
    <xf numFmtId="0" fontId="70" fillId="0" borderId="0" xfId="0" applyFont="1" applyAlignment="1">
      <alignment vertical="center"/>
    </xf>
    <xf numFmtId="0" fontId="71" fillId="0" borderId="0" xfId="0" applyFont="1"/>
    <xf numFmtId="0" fontId="73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3" fontId="72" fillId="0" borderId="0" xfId="0" applyNumberFormat="1" applyFont="1" applyAlignment="1">
      <alignment horizontal="right" vertical="center"/>
    </xf>
    <xf numFmtId="10" fontId="72" fillId="0" borderId="0" xfId="0" applyNumberFormat="1" applyFont="1" applyAlignment="1">
      <alignment horizontal="right" vertical="center"/>
    </xf>
    <xf numFmtId="3" fontId="74" fillId="0" borderId="0" xfId="0" applyNumberFormat="1" applyFont="1" applyAlignment="1">
      <alignment horizontal="right" vertical="center"/>
    </xf>
    <xf numFmtId="0" fontId="9" fillId="47" borderId="0" xfId="0" applyFont="1" applyFill="1" applyAlignment="1">
      <alignment horizontal="center" wrapText="1"/>
    </xf>
    <xf numFmtId="0" fontId="29" fillId="47" borderId="0" xfId="0" applyFont="1" applyFill="1" applyAlignment="1">
      <alignment horizontal="center" wrapText="1"/>
    </xf>
    <xf numFmtId="41" fontId="0" fillId="47" borderId="0" xfId="0" applyNumberFormat="1" applyFill="1"/>
    <xf numFmtId="173" fontId="0" fillId="47" borderId="0" xfId="47" applyNumberFormat="1" applyFont="1" applyFill="1" applyBorder="1"/>
    <xf numFmtId="0" fontId="0" fillId="47" borderId="0" xfId="0" applyFill="1"/>
    <xf numFmtId="173" fontId="9" fillId="47" borderId="0" xfId="47" applyNumberFormat="1" applyFont="1" applyFill="1" applyBorder="1"/>
    <xf numFmtId="43" fontId="17" fillId="11" borderId="0" xfId="1" applyFont="1" applyFill="1" applyBorder="1"/>
    <xf numFmtId="3" fontId="0" fillId="0" borderId="0" xfId="0" applyNumberFormat="1"/>
    <xf numFmtId="174" fontId="0" fillId="0" borderId="0" xfId="0" applyNumberFormat="1"/>
    <xf numFmtId="165" fontId="9" fillId="0" borderId="0" xfId="1" applyNumberFormat="1" applyFont="1" applyFill="1" applyBorder="1"/>
    <xf numFmtId="43" fontId="0" fillId="0" borderId="0" xfId="1" applyFont="1"/>
    <xf numFmtId="41" fontId="4" fillId="45" borderId="0" xfId="0" applyNumberFormat="1" applyFont="1" applyFill="1"/>
    <xf numFmtId="10" fontId="7" fillId="0" borderId="0" xfId="0" applyNumberFormat="1" applyFont="1"/>
    <xf numFmtId="10" fontId="30" fillId="0" borderId="0" xfId="0" applyNumberFormat="1" applyFont="1"/>
    <xf numFmtId="10" fontId="30" fillId="0" borderId="3" xfId="0" applyNumberFormat="1" applyFont="1" applyBorder="1"/>
    <xf numFmtId="0" fontId="75" fillId="0" borderId="0" xfId="0" applyFont="1" applyAlignment="1">
      <alignment horizontal="center"/>
    </xf>
    <xf numFmtId="43" fontId="0" fillId="0" borderId="11" xfId="0" applyNumberFormat="1" applyBorder="1"/>
    <xf numFmtId="43" fontId="0" fillId="0" borderId="12" xfId="0" applyNumberFormat="1" applyBorder="1"/>
    <xf numFmtId="43" fontId="9" fillId="0" borderId="14" xfId="0" applyNumberFormat="1" applyFont="1" applyBorder="1"/>
    <xf numFmtId="0" fontId="18" fillId="48" borderId="0" xfId="0" applyFont="1" applyFill="1" applyAlignment="1">
      <alignment horizontal="left"/>
    </xf>
    <xf numFmtId="167" fontId="0" fillId="48" borderId="0" xfId="0" applyNumberFormat="1" applyFill="1"/>
    <xf numFmtId="41" fontId="0" fillId="48" borderId="0" xfId="0" applyNumberFormat="1" applyFill="1"/>
    <xf numFmtId="43" fontId="0" fillId="48" borderId="0" xfId="0" applyNumberFormat="1" applyFill="1"/>
    <xf numFmtId="0" fontId="0" fillId="48" borderId="0" xfId="0" applyFill="1"/>
    <xf numFmtId="41" fontId="17" fillId="11" borderId="0" xfId="0" applyNumberFormat="1" applyFont="1" applyFill="1"/>
    <xf numFmtId="175" fontId="22" fillId="0" borderId="0" xfId="0" applyNumberFormat="1" applyFont="1"/>
    <xf numFmtId="43" fontId="0" fillId="0" borderId="0" xfId="1" applyFont="1" applyFill="1"/>
    <xf numFmtId="166" fontId="17" fillId="0" borderId="0" xfId="1" applyNumberFormat="1" applyFont="1" applyFill="1" applyBorder="1"/>
    <xf numFmtId="166" fontId="0" fillId="0" borderId="0" xfId="1" applyNumberFormat="1" applyFont="1" applyFill="1"/>
    <xf numFmtId="166" fontId="0" fillId="0" borderId="0" xfId="1" applyNumberFormat="1" applyFont="1"/>
    <xf numFmtId="165" fontId="0" fillId="0" borderId="0" xfId="1" applyNumberFormat="1" applyFont="1" applyFill="1" applyBorder="1"/>
    <xf numFmtId="166" fontId="17" fillId="0" borderId="0" xfId="1" applyNumberFormat="1" applyFont="1" applyFill="1" applyBorder="1" applyAlignment="1"/>
    <xf numFmtId="166" fontId="4" fillId="0" borderId="0" xfId="1" applyNumberFormat="1" applyFont="1" applyFill="1" applyBorder="1" applyAlignment="1"/>
    <xf numFmtId="165" fontId="0" fillId="0" borderId="0" xfId="1" applyNumberFormat="1" applyFont="1"/>
    <xf numFmtId="165" fontId="17" fillId="0" borderId="0" xfId="1" applyNumberFormat="1" applyFont="1"/>
    <xf numFmtId="165" fontId="9" fillId="0" borderId="1" xfId="1" applyNumberFormat="1" applyFont="1" applyBorder="1" applyAlignment="1">
      <alignment horizontal="center" wrapText="1"/>
    </xf>
    <xf numFmtId="165" fontId="9" fillId="0" borderId="0" xfId="1" applyNumberFormat="1" applyFont="1" applyBorder="1" applyAlignment="1"/>
    <xf numFmtId="165" fontId="17" fillId="0" borderId="0" xfId="1" applyNumberFormat="1" applyFont="1" applyFill="1" applyBorder="1" applyAlignment="1"/>
    <xf numFmtId="165" fontId="17" fillId="0" borderId="0" xfId="1" applyNumberFormat="1" applyFont="1" applyFill="1" applyBorder="1"/>
    <xf numFmtId="165" fontId="9" fillId="0" borderId="1" xfId="1" applyNumberFormat="1" applyFont="1" applyFill="1" applyBorder="1"/>
    <xf numFmtId="165" fontId="17" fillId="0" borderId="1" xfId="1" applyNumberFormat="1" applyFont="1" applyFill="1" applyBorder="1"/>
    <xf numFmtId="165" fontId="17" fillId="5" borderId="0" xfId="1" applyNumberFormat="1" applyFont="1" applyFill="1" applyBorder="1"/>
    <xf numFmtId="165" fontId="17" fillId="2" borderId="0" xfId="1" applyNumberFormat="1" applyFont="1" applyFill="1" applyBorder="1"/>
    <xf numFmtId="165" fontId="20" fillId="0" borderId="0" xfId="1" applyNumberFormat="1" applyFont="1" applyFill="1" applyBorder="1"/>
    <xf numFmtId="165" fontId="17" fillId="0" borderId="3" xfId="1" applyNumberFormat="1" applyFont="1" applyFill="1" applyBorder="1"/>
    <xf numFmtId="165" fontId="26" fillId="3" borderId="0" xfId="1" applyNumberFormat="1" applyFont="1" applyFill="1" applyBorder="1"/>
    <xf numFmtId="165" fontId="26" fillId="3" borderId="3" xfId="1" applyNumberFormat="1" applyFont="1" applyFill="1" applyBorder="1"/>
    <xf numFmtId="165" fontId="22" fillId="3" borderId="0" xfId="1" applyNumberFormat="1" applyFont="1" applyFill="1" applyBorder="1"/>
    <xf numFmtId="165" fontId="17" fillId="3" borderId="0" xfId="1" applyNumberFormat="1" applyFont="1" applyFill="1" applyBorder="1"/>
    <xf numFmtId="165" fontId="20" fillId="3" borderId="0" xfId="1" applyNumberFormat="1" applyFont="1" applyFill="1" applyBorder="1"/>
    <xf numFmtId="165" fontId="23" fillId="3" borderId="0" xfId="1" applyNumberFormat="1" applyFont="1" applyFill="1" applyBorder="1"/>
    <xf numFmtId="165" fontId="9" fillId="0" borderId="3" xfId="1" applyNumberFormat="1" applyFont="1" applyFill="1" applyBorder="1"/>
    <xf numFmtId="165" fontId="23" fillId="0" borderId="0" xfId="1" applyNumberFormat="1" applyFont="1" applyFill="1" applyBorder="1"/>
    <xf numFmtId="165" fontId="20" fillId="0" borderId="0" xfId="1" applyNumberFormat="1" applyFont="1"/>
    <xf numFmtId="165" fontId="23" fillId="0" borderId="0" xfId="1" applyNumberFormat="1" applyFont="1"/>
    <xf numFmtId="165" fontId="9" fillId="5" borderId="0" xfId="1" applyNumberFormat="1" applyFont="1" applyFill="1" applyBorder="1"/>
    <xf numFmtId="165" fontId="22" fillId="0" borderId="0" xfId="1" applyNumberFormat="1" applyFont="1" applyFill="1" applyBorder="1"/>
    <xf numFmtId="165" fontId="17" fillId="6" borderId="0" xfId="1" applyNumberFormat="1" applyFont="1" applyFill="1" applyBorder="1"/>
    <xf numFmtId="41" fontId="4" fillId="0" borderId="0" xfId="1" applyNumberFormat="1" applyFont="1" applyFill="1"/>
    <xf numFmtId="41" fontId="0" fillId="0" borderId="0" xfId="1" applyNumberFormat="1" applyFont="1"/>
    <xf numFmtId="166" fontId="17" fillId="0" borderId="0" xfId="1" applyNumberFormat="1" applyFont="1"/>
    <xf numFmtId="166" fontId="9" fillId="0" borderId="1" xfId="1" applyNumberFormat="1" applyFont="1" applyBorder="1" applyAlignment="1">
      <alignment horizontal="center" wrapText="1"/>
    </xf>
    <xf numFmtId="166" fontId="9" fillId="0" borderId="0" xfId="1" applyNumberFormat="1" applyFont="1" applyBorder="1" applyAlignment="1"/>
    <xf numFmtId="166" fontId="9" fillId="0" borderId="0" xfId="1" applyNumberFormat="1" applyFont="1" applyFill="1" applyBorder="1"/>
    <xf numFmtId="166" fontId="17" fillId="0" borderId="1" xfId="1" applyNumberFormat="1" applyFont="1" applyFill="1" applyBorder="1"/>
    <xf numFmtId="166" fontId="9" fillId="0" borderId="0" xfId="1" applyNumberFormat="1" applyFont="1" applyFill="1" applyBorder="1" applyAlignment="1"/>
    <xf numFmtId="166" fontId="9" fillId="0" borderId="1" xfId="1" applyNumberFormat="1" applyFont="1" applyFill="1" applyBorder="1"/>
    <xf numFmtId="166" fontId="26" fillId="3" borderId="0" xfId="1" applyNumberFormat="1" applyFont="1" applyFill="1" applyBorder="1"/>
    <xf numFmtId="166" fontId="17" fillId="3" borderId="0" xfId="1" applyNumberFormat="1" applyFont="1" applyFill="1" applyBorder="1"/>
    <xf numFmtId="166" fontId="9" fillId="0" borderId="3" xfId="1" applyNumberFormat="1" applyFont="1" applyFill="1" applyBorder="1"/>
    <xf numFmtId="166" fontId="9" fillId="0" borderId="0" xfId="1" applyNumberFormat="1" applyFont="1" applyFill="1" applyBorder="1" applyAlignment="1">
      <alignment horizontal="center"/>
    </xf>
    <xf numFmtId="41" fontId="26" fillId="49" borderId="0" xfId="0" applyNumberFormat="1" applyFont="1" applyFill="1"/>
    <xf numFmtId="41" fontId="20" fillId="49" borderId="0" xfId="0" applyNumberFormat="1" applyFont="1" applyFill="1"/>
    <xf numFmtId="9" fontId="9" fillId="0" borderId="0" xfId="2" applyFont="1" applyFill="1" applyBorder="1"/>
    <xf numFmtId="41" fontId="40" fillId="0" borderId="0" xfId="0" applyNumberFormat="1" applyFont="1"/>
    <xf numFmtId="0" fontId="40" fillId="0" borderId="0" xfId="0" applyFont="1"/>
    <xf numFmtId="41" fontId="41" fillId="0" borderId="0" xfId="0" applyNumberFormat="1" applyFont="1"/>
    <xf numFmtId="0" fontId="4" fillId="0" borderId="11" xfId="0" applyFont="1" applyBorder="1"/>
    <xf numFmtId="40" fontId="0" fillId="0" borderId="0" xfId="0" applyNumberFormat="1"/>
    <xf numFmtId="41" fontId="17" fillId="49" borderId="0" xfId="0" applyNumberFormat="1" applyFont="1" applyFill="1"/>
    <xf numFmtId="170" fontId="9" fillId="10" borderId="0" xfId="2" applyNumberFormat="1" applyFont="1" applyFill="1" applyBorder="1" applyAlignment="1"/>
    <xf numFmtId="170" fontId="9" fillId="10" borderId="0" xfId="2" applyNumberFormat="1" applyFont="1" applyFill="1" applyBorder="1"/>
    <xf numFmtId="0" fontId="17" fillId="11" borderId="0" xfId="0" applyFont="1" applyFill="1"/>
    <xf numFmtId="41" fontId="17" fillId="49" borderId="3" xfId="0" applyNumberFormat="1" applyFont="1" applyFill="1" applyBorder="1"/>
    <xf numFmtId="0" fontId="76" fillId="48" borderId="0" xfId="0" applyFont="1" applyFill="1"/>
    <xf numFmtId="0" fontId="0" fillId="8" borderId="0" xfId="0" applyFill="1" applyAlignment="1">
      <alignment horizontal="right"/>
    </xf>
    <xf numFmtId="15" fontId="76" fillId="48" borderId="0" xfId="0" quotePrefix="1" applyNumberFormat="1" applyFont="1" applyFill="1" applyAlignment="1">
      <alignment horizontal="right"/>
    </xf>
    <xf numFmtId="0" fontId="76" fillId="0" borderId="0" xfId="0" applyFont="1"/>
    <xf numFmtId="41" fontId="78" fillId="0" borderId="0" xfId="0" applyNumberFormat="1" applyFont="1"/>
    <xf numFmtId="41" fontId="79" fillId="0" borderId="0" xfId="0" applyNumberFormat="1" applyFont="1"/>
    <xf numFmtId="0" fontId="80" fillId="48" borderId="0" xfId="0" applyFont="1" applyFill="1"/>
    <xf numFmtId="3" fontId="11" fillId="0" borderId="0" xfId="0" applyNumberFormat="1" applyFont="1"/>
    <xf numFmtId="0" fontId="17" fillId="50" borderId="0" xfId="0" applyFont="1" applyFill="1"/>
    <xf numFmtId="167" fontId="17" fillId="50" borderId="0" xfId="0" applyNumberFormat="1" applyFont="1" applyFill="1"/>
    <xf numFmtId="41" fontId="17" fillId="50" borderId="0" xfId="0" applyNumberFormat="1" applyFont="1" applyFill="1"/>
    <xf numFmtId="43" fontId="17" fillId="50" borderId="0" xfId="0" applyNumberFormat="1" applyFont="1" applyFill="1"/>
    <xf numFmtId="41" fontId="40" fillId="50" borderId="0" xfId="0" applyNumberFormat="1" applyFont="1" applyFill="1"/>
    <xf numFmtId="0" fontId="4" fillId="50" borderId="0" xfId="0" applyFont="1" applyFill="1"/>
    <xf numFmtId="167" fontId="4" fillId="50" borderId="0" xfId="0" applyNumberFormat="1" applyFont="1" applyFill="1"/>
    <xf numFmtId="165" fontId="9" fillId="0" borderId="0" xfId="1" applyNumberFormat="1" applyFont="1"/>
    <xf numFmtId="167" fontId="17" fillId="11" borderId="0" xfId="0" applyNumberFormat="1" applyFont="1" applyFill="1"/>
    <xf numFmtId="177" fontId="17" fillId="2" borderId="0" xfId="0" applyNumberFormat="1" applyFont="1" applyFill="1"/>
    <xf numFmtId="167" fontId="9" fillId="11" borderId="1" xfId="0" applyNumberFormat="1" applyFont="1" applyFill="1" applyBorder="1"/>
    <xf numFmtId="178" fontId="26" fillId="3" borderId="0" xfId="0" applyNumberFormat="1" applyFont="1" applyFill="1"/>
    <xf numFmtId="179" fontId="22" fillId="3" borderId="0" xfId="0" applyNumberFormat="1" applyFont="1" applyFill="1"/>
    <xf numFmtId="167" fontId="9" fillId="0" borderId="1" xfId="0" applyNumberFormat="1" applyFont="1" applyBorder="1" applyAlignment="1">
      <alignment horizontal="center" vertical="center"/>
    </xf>
    <xf numFmtId="43" fontId="4" fillId="0" borderId="0" xfId="1" applyFont="1"/>
    <xf numFmtId="165" fontId="23" fillId="0" borderId="0" xfId="1" applyNumberFormat="1" applyFont="1" applyFill="1" applyBorder="1" applyAlignment="1"/>
    <xf numFmtId="172" fontId="77" fillId="0" borderId="0" xfId="0" applyNumberFormat="1" applyFont="1" applyAlignment="1">
      <alignment horizontal="right" vertical="center"/>
    </xf>
    <xf numFmtId="43" fontId="77" fillId="0" borderId="0" xfId="1" applyFont="1" applyBorder="1" applyAlignment="1">
      <alignment horizontal="right"/>
    </xf>
    <xf numFmtId="176" fontId="82" fillId="0" borderId="0" xfId="62" applyNumberFormat="1" applyFont="1" applyAlignment="1">
      <alignment horizontal="right" wrapText="1"/>
    </xf>
    <xf numFmtId="176" fontId="81" fillId="0" borderId="0" xfId="62" applyNumberFormat="1" applyAlignment="1">
      <alignment horizontal="right" wrapText="1"/>
    </xf>
    <xf numFmtId="171" fontId="81" fillId="0" borderId="0" xfId="62" applyNumberFormat="1" applyAlignment="1">
      <alignment horizontal="right" wrapText="1"/>
    </xf>
    <xf numFmtId="171" fontId="77" fillId="0" borderId="0" xfId="0" applyNumberFormat="1" applyFont="1" applyAlignment="1">
      <alignment horizontal="right" vertical="center"/>
    </xf>
    <xf numFmtId="41" fontId="78" fillId="49" borderId="0" xfId="0" applyNumberFormat="1" applyFont="1" applyFill="1"/>
    <xf numFmtId="41" fontId="21" fillId="0" borderId="0" xfId="0" applyNumberFormat="1" applyFont="1"/>
    <xf numFmtId="0" fontId="4" fillId="3" borderId="0" xfId="0" applyFont="1" applyFill="1"/>
    <xf numFmtId="43" fontId="0" fillId="0" borderId="28" xfId="0" applyNumberFormat="1" applyBorder="1"/>
    <xf numFmtId="4" fontId="0" fillId="0" borderId="28" xfId="0" applyNumberFormat="1" applyBorder="1" applyAlignment="1">
      <alignment horizontal="right"/>
    </xf>
    <xf numFmtId="43" fontId="0" fillId="0" borderId="28" xfId="0" applyNumberFormat="1" applyBorder="1" applyAlignment="1">
      <alignment horizontal="left" vertical="top"/>
    </xf>
    <xf numFmtId="43" fontId="4" fillId="0" borderId="28" xfId="0" applyNumberFormat="1" applyFont="1" applyBorder="1"/>
    <xf numFmtId="43" fontId="0" fillId="0" borderId="28" xfId="1" applyFont="1" applyBorder="1" applyAlignment="1">
      <alignment horizontal="right"/>
    </xf>
    <xf numFmtId="43" fontId="9" fillId="0" borderId="29" xfId="0" applyNumberFormat="1" applyFont="1" applyBorder="1"/>
    <xf numFmtId="3" fontId="84" fillId="0" borderId="0" xfId="0" applyNumberFormat="1" applyFont="1"/>
    <xf numFmtId="4" fontId="84" fillId="0" borderId="0" xfId="0" applyNumberFormat="1" applyFont="1"/>
    <xf numFmtId="0" fontId="0" fillId="0" borderId="0" xfId="0" quotePrefix="1"/>
    <xf numFmtId="0" fontId="7" fillId="0" borderId="0" xfId="0" quotePrefix="1" applyFont="1"/>
    <xf numFmtId="43" fontId="17" fillId="0" borderId="0" xfId="0" quotePrefix="1" applyNumberFormat="1" applyFont="1"/>
    <xf numFmtId="43" fontId="4" fillId="0" borderId="0" xfId="0" quotePrefix="1" applyNumberFormat="1" applyFont="1"/>
    <xf numFmtId="165" fontId="84" fillId="0" borderId="0" xfId="1" applyNumberFormat="1" applyFont="1"/>
    <xf numFmtId="41" fontId="26" fillId="0" borderId="30" xfId="0" applyNumberFormat="1" applyFont="1" applyBorder="1" applyAlignment="1">
      <alignment horizontal="right"/>
    </xf>
    <xf numFmtId="10" fontId="26" fillId="0" borderId="30" xfId="0" applyNumberFormat="1" applyFont="1" applyBorder="1"/>
    <xf numFmtId="167" fontId="9" fillId="5" borderId="0" xfId="0" applyNumberFormat="1" applyFont="1" applyFill="1"/>
    <xf numFmtId="4" fontId="77" fillId="0" borderId="0" xfId="0" applyNumberFormat="1" applyFont="1" applyAlignment="1">
      <alignment horizontal="right" vertical="top" shrinkToFit="1"/>
    </xf>
    <xf numFmtId="2" fontId="77" fillId="0" borderId="0" xfId="0" applyNumberFormat="1" applyFont="1" applyAlignment="1">
      <alignment horizontal="right" vertical="top" shrinkToFit="1"/>
    </xf>
    <xf numFmtId="43" fontId="4" fillId="11" borderId="1" xfId="0" quotePrefix="1" applyNumberFormat="1" applyFont="1" applyFill="1" applyBorder="1"/>
    <xf numFmtId="43" fontId="17" fillId="11" borderId="1" xfId="0" applyNumberFormat="1" applyFont="1" applyFill="1" applyBorder="1"/>
    <xf numFmtId="166" fontId="17" fillId="5" borderId="0" xfId="1" applyNumberFormat="1" applyFont="1" applyFill="1" applyBorder="1"/>
    <xf numFmtId="167" fontId="4" fillId="8" borderId="0" xfId="0" applyNumberFormat="1" applyFont="1" applyFill="1"/>
    <xf numFmtId="170" fontId="9" fillId="0" borderId="0" xfId="0" applyNumberFormat="1" applyFont="1"/>
    <xf numFmtId="167" fontId="9" fillId="48" borderId="1" xfId="0" applyNumberFormat="1" applyFont="1" applyFill="1" applyBorder="1"/>
    <xf numFmtId="171" fontId="82" fillId="0" borderId="0" xfId="62" applyNumberFormat="1" applyFont="1" applyAlignment="1">
      <alignment horizontal="right" wrapText="1"/>
    </xf>
    <xf numFmtId="43" fontId="0" fillId="0" borderId="13" xfId="0" applyNumberFormat="1" applyBorder="1"/>
    <xf numFmtId="43" fontId="0" fillId="0" borderId="14" xfId="0" applyNumberFormat="1" applyBorder="1"/>
    <xf numFmtId="43" fontId="4" fillId="0" borderId="17" xfId="0" applyNumberFormat="1" applyFont="1" applyBorder="1"/>
    <xf numFmtId="43" fontId="0" fillId="0" borderId="17" xfId="0" applyNumberFormat="1" applyBorder="1"/>
    <xf numFmtId="43" fontId="9" fillId="0" borderId="18" xfId="0" applyNumberFormat="1" applyFont="1" applyBorder="1"/>
    <xf numFmtId="2" fontId="6" fillId="0" borderId="0" xfId="0" applyNumberFormat="1" applyFont="1"/>
    <xf numFmtId="0" fontId="4" fillId="0" borderId="0" xfId="0" applyFont="1" applyAlignment="1">
      <alignment horizontal="right"/>
    </xf>
    <xf numFmtId="0" fontId="4" fillId="11" borderId="0" xfId="0" applyFont="1" applyFill="1"/>
    <xf numFmtId="166" fontId="17" fillId="0" borderId="0" xfId="1" applyNumberFormat="1" applyFont="1" applyFill="1"/>
    <xf numFmtId="43" fontId="4" fillId="0" borderId="0" xfId="1" applyFill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10" fontId="7" fillId="0" borderId="3" xfId="0" applyNumberFormat="1" applyFont="1" applyBorder="1"/>
    <xf numFmtId="41" fontId="8" fillId="0" borderId="2" xfId="0" applyNumberFormat="1" applyFont="1" applyBorder="1" applyAlignment="1">
      <alignment horizontal="center"/>
    </xf>
    <xf numFmtId="43" fontId="8" fillId="0" borderId="2" xfId="0" applyNumberFormat="1" applyFont="1" applyBorder="1" applyAlignment="1">
      <alignment horizontal="center"/>
    </xf>
    <xf numFmtId="0" fontId="85" fillId="51" borderId="0" xfId="0" applyFont="1" applyFill="1" applyAlignment="1">
      <alignment horizontal="left" vertical="top" indent="1"/>
    </xf>
    <xf numFmtId="43" fontId="9" fillId="0" borderId="0" xfId="1" applyFont="1"/>
    <xf numFmtId="43" fontId="68" fillId="0" borderId="0" xfId="0" applyNumberFormat="1" applyFont="1"/>
    <xf numFmtId="43" fontId="86" fillId="0" borderId="0" xfId="1" applyFont="1" applyBorder="1"/>
    <xf numFmtId="43" fontId="86" fillId="0" borderId="0" xfId="1" applyFont="1"/>
    <xf numFmtId="43" fontId="87" fillId="0" borderId="0" xfId="1" applyFont="1"/>
    <xf numFmtId="165" fontId="9" fillId="0" borderId="1" xfId="0" applyNumberFormat="1" applyFont="1" applyBorder="1"/>
    <xf numFmtId="10" fontId="7" fillId="0" borderId="0" xfId="2" applyNumberFormat="1" applyFont="1"/>
    <xf numFmtId="43" fontId="81" fillId="0" borderId="0" xfId="1" applyFont="1" applyBorder="1" applyAlignment="1">
      <alignment horizontal="right" wrapText="1"/>
    </xf>
    <xf numFmtId="167" fontId="9" fillId="11" borderId="0" xfId="0" applyNumberFormat="1" applyFont="1" applyFill="1"/>
    <xf numFmtId="10" fontId="8" fillId="0" borderId="0" xfId="2" applyNumberFormat="1" applyFont="1"/>
    <xf numFmtId="3" fontId="88" fillId="0" borderId="0" xfId="0" applyNumberFormat="1" applyFont="1"/>
    <xf numFmtId="0" fontId="89" fillId="48" borderId="0" xfId="0" applyFont="1" applyFill="1"/>
    <xf numFmtId="0" fontId="90" fillId="48" borderId="0" xfId="0" applyFont="1" applyFill="1"/>
    <xf numFmtId="43" fontId="17" fillId="43" borderId="0" xfId="0" applyNumberFormat="1" applyFont="1" applyFill="1"/>
    <xf numFmtId="0" fontId="17" fillId="43" borderId="0" xfId="0" applyFont="1" applyFill="1"/>
    <xf numFmtId="3" fontId="17" fillId="0" borderId="0" xfId="0" applyNumberFormat="1" applyFont="1" applyFill="1"/>
    <xf numFmtId="167" fontId="17" fillId="0" borderId="0" xfId="0" applyNumberFormat="1" applyFont="1" applyFill="1"/>
    <xf numFmtId="41" fontId="17" fillId="0" borderId="0" xfId="0" applyNumberFormat="1" applyFont="1" applyFill="1"/>
    <xf numFmtId="43" fontId="17" fillId="0" borderId="0" xfId="0" applyNumberFormat="1" applyFont="1" applyFill="1"/>
    <xf numFmtId="3" fontId="17" fillId="0" borderId="0" xfId="0" applyNumberFormat="1" applyFont="1" applyFill="1" applyAlignment="1">
      <alignment horizontal="left" indent="1"/>
    </xf>
    <xf numFmtId="167" fontId="9" fillId="0" borderId="1" xfId="0" applyNumberFormat="1" applyFont="1" applyFill="1" applyBorder="1"/>
    <xf numFmtId="167" fontId="4" fillId="11" borderId="0" xfId="0" applyNumberFormat="1" applyFont="1" applyFill="1"/>
    <xf numFmtId="41" fontId="9" fillId="0" borderId="0" xfId="0" applyNumberFormat="1" applyFont="1" applyBorder="1"/>
    <xf numFmtId="41" fontId="9" fillId="3" borderId="0" xfId="0" applyNumberFormat="1" applyFont="1" applyFill="1" applyBorder="1"/>
    <xf numFmtId="43" fontId="9" fillId="0" borderId="0" xfId="0" applyNumberFormat="1" applyFont="1" applyBorder="1"/>
    <xf numFmtId="0" fontId="17" fillId="11" borderId="1" xfId="0" applyFont="1" applyFill="1" applyBorder="1"/>
    <xf numFmtId="0" fontId="17" fillId="0" borderId="0" xfId="0" applyFont="1" applyFill="1"/>
    <xf numFmtId="43" fontId="4" fillId="0" borderId="0" xfId="1" applyFont="1" applyFill="1" applyBorder="1"/>
    <xf numFmtId="41" fontId="17" fillId="52" borderId="0" xfId="0" applyNumberFormat="1" applyFont="1" applyFill="1"/>
    <xf numFmtId="3" fontId="9" fillId="11" borderId="0" xfId="0" applyNumberFormat="1" applyFont="1" applyFill="1" applyAlignment="1">
      <alignment horizontal="right"/>
    </xf>
    <xf numFmtId="2" fontId="17" fillId="0" borderId="0" xfId="0" applyNumberFormat="1" applyFont="1"/>
    <xf numFmtId="171" fontId="81" fillId="0" borderId="0" xfId="66" applyNumberFormat="1" applyFont="1" applyBorder="1" applyAlignment="1">
      <alignment horizontal="right" wrapText="1"/>
    </xf>
    <xf numFmtId="43" fontId="92" fillId="0" borderId="0" xfId="1" applyFont="1" applyBorder="1" applyAlignment="1">
      <alignment horizontal="right"/>
    </xf>
    <xf numFmtId="167" fontId="4" fillId="0" borderId="0" xfId="0" applyNumberFormat="1" applyFont="1" applyFill="1"/>
    <xf numFmtId="43" fontId="84" fillId="0" borderId="0" xfId="1" applyFont="1" applyFill="1"/>
    <xf numFmtId="0" fontId="89" fillId="48" borderId="0" xfId="0" applyFont="1" applyFill="1" applyAlignment="1">
      <alignment horizontal="right"/>
    </xf>
    <xf numFmtId="0" fontId="72" fillId="0" borderId="0" xfId="0" applyFont="1" applyAlignment="1">
      <alignment horizontal="center" vertical="center"/>
    </xf>
    <xf numFmtId="43" fontId="7" fillId="0" borderId="0" xfId="0" applyNumberFormat="1" applyFont="1" applyFill="1"/>
    <xf numFmtId="43" fontId="30" fillId="0" borderId="0" xfId="0" applyNumberFormat="1" applyFont="1" applyFill="1"/>
    <xf numFmtId="0" fontId="8" fillId="0" borderId="0" xfId="0" applyFont="1" applyAlignment="1">
      <alignment horizontal="left"/>
    </xf>
  </cellXfs>
  <cellStyles count="67">
    <cellStyle name="20% - Accent1" xfId="18" builtinId="30" customBuiltin="1"/>
    <cellStyle name="20% - Accent1 2" xfId="48" xr:uid="{8F558DFF-C4CB-4B37-88E1-6D9F1E10964E}"/>
    <cellStyle name="20% - Accent2" xfId="21" builtinId="34" customBuiltin="1"/>
    <cellStyle name="20% - Accent2 2" xfId="50" xr:uid="{7CC6976F-D4E0-4725-812A-581C422D5FFA}"/>
    <cellStyle name="20% - Accent3" xfId="24" builtinId="38" customBuiltin="1"/>
    <cellStyle name="20% - Accent3 2" xfId="52" xr:uid="{461C4171-2AED-42E3-AB6D-C0ACF106A3FA}"/>
    <cellStyle name="20% - Accent4" xfId="27" builtinId="42" customBuiltin="1"/>
    <cellStyle name="20% - Accent4 2" xfId="54" xr:uid="{A6FEB27E-B829-49EA-ACAE-75F768F5F88D}"/>
    <cellStyle name="20% - Accent5" xfId="30" builtinId="46" customBuiltin="1"/>
    <cellStyle name="20% - Accent5 2" xfId="56" xr:uid="{C83E47B8-03AC-4450-9044-7B3BE5F029D9}"/>
    <cellStyle name="20% - Accent6" xfId="33" builtinId="50" customBuiltin="1"/>
    <cellStyle name="20% - Accent6 2" xfId="58" xr:uid="{8EADE551-5F38-4DD0-AB39-1F9B0B3FFBB0}"/>
    <cellStyle name="40% - Accent1" xfId="19" builtinId="31" customBuiltin="1"/>
    <cellStyle name="40% - Accent1 2" xfId="49" xr:uid="{D334D7DE-45DD-4266-895F-79EA590B9A47}"/>
    <cellStyle name="40% - Accent2" xfId="22" builtinId="35" customBuiltin="1"/>
    <cellStyle name="40% - Accent2 2" xfId="51" xr:uid="{216363DE-7A81-4B8B-ADA8-A50D3694CEC2}"/>
    <cellStyle name="40% - Accent3" xfId="25" builtinId="39" customBuiltin="1"/>
    <cellStyle name="40% - Accent3 2" xfId="53" xr:uid="{D503502D-9005-48D7-97DF-F6FE47FC230D}"/>
    <cellStyle name="40% - Accent4" xfId="28" builtinId="43" customBuiltin="1"/>
    <cellStyle name="40% - Accent4 2" xfId="55" xr:uid="{D319D85B-C3AC-47A5-9E11-7D1D7B9CC86F}"/>
    <cellStyle name="40% - Accent5" xfId="31" builtinId="47" customBuiltin="1"/>
    <cellStyle name="40% - Accent5 2" xfId="57" xr:uid="{1BADB293-C06F-46E2-A9E1-7458864D7826}"/>
    <cellStyle name="40% - Accent6" xfId="34" builtinId="51" customBuiltin="1"/>
    <cellStyle name="40% - Accent6 2" xfId="59" xr:uid="{7192F7B9-87F8-42A5-9740-D0251E3D7C62}"/>
    <cellStyle name="60% - Accent1 2" xfId="37" xr:uid="{F56F0328-AD0C-4EF7-BDA9-F0E4814852FC}"/>
    <cellStyle name="60% - Accent2 2" xfId="38" xr:uid="{C519229A-A406-4F23-9212-8C332325C927}"/>
    <cellStyle name="60% - Accent3 2" xfId="39" xr:uid="{F957A7DF-766E-45F6-8261-4A82945386C1}"/>
    <cellStyle name="60% - Accent4 2" xfId="40" xr:uid="{15F67A17-D6AB-4A01-8DA4-91A6E8DB3275}"/>
    <cellStyle name="60% - Accent5 2" xfId="41" xr:uid="{18CD797C-D58D-4530-99EC-7A38461AC8CA}"/>
    <cellStyle name="60% - Accent6 2" xfId="42" xr:uid="{9D21FE99-35CA-4DE1-954D-3F86DA5F9FA8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omma" xfId="1" builtinId="3"/>
    <cellStyle name="Comma 2" xfId="64" xr:uid="{026C98BE-7E96-4893-9FBC-EC950E79BE7D}"/>
    <cellStyle name="Currency" xfId="47" builtinId="4"/>
    <cellStyle name="Explanatory Text" xfId="15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3" xr:uid="{E58BEB61-E639-41F0-830A-BCB8F87D05C3}"/>
    <cellStyle name="Normal" xfId="0" builtinId="0"/>
    <cellStyle name="Normal 2" xfId="35" xr:uid="{51963E85-6944-4F11-A889-9C9F5FE6C1EB}"/>
    <cellStyle name="Normal 2 2" xfId="44" xr:uid="{20F6FFBC-409E-4A0A-89B6-B7E9122F86BA}"/>
    <cellStyle name="Normal 2 2 2" xfId="60" xr:uid="{6E3ED4A2-362C-4A41-8E82-374F7B0C587D}"/>
    <cellStyle name="Normal 2 4" xfId="65" xr:uid="{214E85C4-FF39-4738-98F1-6AC5717AF6FE}"/>
    <cellStyle name="Normal 3" xfId="36" xr:uid="{DC83DFA0-F2BD-42C0-A7D6-0C9B3323171E}"/>
    <cellStyle name="Normal 4" xfId="63" xr:uid="{17256407-63E9-4B9F-96DF-07306F8928B7}"/>
    <cellStyle name="Normal_Sheet1" xfId="62" xr:uid="{1E8338F7-1C41-41D8-9D68-1F337CFAE054}"/>
    <cellStyle name="Normal_Sheet2" xfId="66" xr:uid="{B4E231A6-9252-4BD4-9EF8-9AB8B130B593}"/>
    <cellStyle name="Note 2" xfId="45" xr:uid="{529E1779-DA33-43E3-A570-3E7FC5B1D534}"/>
    <cellStyle name="Note 2 2" xfId="61" xr:uid="{634F9814-A807-41BF-BE9E-3A8B3E5F94DF}"/>
    <cellStyle name="Output" xfId="10" builtinId="21" customBuiltin="1"/>
    <cellStyle name="Percent" xfId="2" builtinId="5"/>
    <cellStyle name="Title 2" xfId="46" xr:uid="{7532F386-F89E-4DAD-B301-6B864F8C4E10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AF6FC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4</xdr:col>
      <xdr:colOff>123825</xdr:colOff>
      <xdr:row>11</xdr:row>
      <xdr:rowOff>122102</xdr:rowOff>
    </xdr:to>
    <xdr:pic>
      <xdr:nvPicPr>
        <xdr:cNvPr id="23575" name="Picture 1" descr="STATE">
          <a:extLst>
            <a:ext uri="{FF2B5EF4-FFF2-40B4-BE49-F238E27FC236}">
              <a16:creationId xmlns:a16="http://schemas.microsoft.com/office/drawing/2014/main" id="{00000000-0008-0000-0000-00001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525"/>
          <a:ext cx="1952625" cy="189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122</xdr:row>
      <xdr:rowOff>28575</xdr:rowOff>
    </xdr:from>
    <xdr:to>
      <xdr:col>13</xdr:col>
      <xdr:colOff>371475</xdr:colOff>
      <xdr:row>130</xdr:row>
      <xdr:rowOff>19050</xdr:rowOff>
    </xdr:to>
    <xdr:sp macro="" textlink="">
      <xdr:nvSpPr>
        <xdr:cNvPr id="3076" name="WordArt 4">
          <a:extLst>
            <a:ext uri="{FF2B5EF4-FFF2-40B4-BE49-F238E27FC236}">
              <a16:creationId xmlns:a16="http://schemas.microsoft.com/office/drawing/2014/main" id="{00000000-0008-0000-0800-000004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43550" y="20250150"/>
          <a:ext cx="8743950" cy="1457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SPECIAL ASSESSMENT DISTRICTS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elly S. Langley" id="{2DDC0CC0-AB1A-4EE6-9693-73AC7DA19ED7}" userId="S::klangley@TAX.STATE.NV.US::b5d36b62-8248-4405-86d4-930c92bfd8f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2" dT="2023-03-21T19:41:24.58" personId="{2DDC0CC0-AB1A-4EE6-9693-73AC7DA19ED7}" id="{0FE89CAA-FF44-4467-9C70-B7D0E9208B9D}">
    <text>This information comes from the Final Rev. Proj page A-1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623" dT="2021-03-24T22:44:17.00" personId="{2DDC0CC0-AB1A-4EE6-9693-73AC7DA19ED7}" id="{E4DA19BE-49F5-4C41-9DE8-C2132CA6EEEE}">
    <text>This information comes from FY Value Report provided by CL Treasurer (separate rpt providedWith ProForma in PDFs)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350" dT="2020-03-04T01:28:48.75" personId="{2DDC0CC0-AB1A-4EE6-9693-73AC7DA19ED7}" id="{50F670DB-A509-4DA7-BE71-5A3DB1C053A3}">
    <text>Ask Penny to review this one?  Totalled by 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printerSettings" Target="../printerSettings/printerSettings4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printerSettings" Target="../printerSettings/printerSettings5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comments" Target="../comments12.xml"/><Relationship Id="rId5" Type="http://schemas.openxmlformats.org/officeDocument/2006/relationships/vmlDrawing" Target="../drawings/vmlDrawing12.vml"/><Relationship Id="rId4" Type="http://schemas.openxmlformats.org/officeDocument/2006/relationships/printerSettings" Target="../printerSettings/printerSettings5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comments" Target="../comments13.xml"/><Relationship Id="rId5" Type="http://schemas.openxmlformats.org/officeDocument/2006/relationships/vmlDrawing" Target="../drawings/vmlDrawing13.vml"/><Relationship Id="rId4" Type="http://schemas.openxmlformats.org/officeDocument/2006/relationships/printerSettings" Target="../printerSettings/printerSettings6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comments" Target="../comments14.xml"/><Relationship Id="rId5" Type="http://schemas.openxmlformats.org/officeDocument/2006/relationships/vmlDrawing" Target="../drawings/vmlDrawing14.vml"/><Relationship Id="rId4" Type="http://schemas.openxmlformats.org/officeDocument/2006/relationships/printerSettings" Target="../printerSettings/printerSettings6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comments" Target="../comments15.xml"/><Relationship Id="rId5" Type="http://schemas.openxmlformats.org/officeDocument/2006/relationships/vmlDrawing" Target="../drawings/vmlDrawing15.vml"/><Relationship Id="rId4" Type="http://schemas.openxmlformats.org/officeDocument/2006/relationships/printerSettings" Target="../printerSettings/printerSettings6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printerSettings" Target="../printerSettings/printerSettings7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comments" Target="../comments17.xml"/><Relationship Id="rId5" Type="http://schemas.openxmlformats.org/officeDocument/2006/relationships/vmlDrawing" Target="../drawings/vmlDrawing17.vml"/><Relationship Id="rId4" Type="http://schemas.openxmlformats.org/officeDocument/2006/relationships/printerSettings" Target="../printerSettings/printerSettings7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6" Type="http://schemas.openxmlformats.org/officeDocument/2006/relationships/comments" Target="../comments18.xml"/><Relationship Id="rId5" Type="http://schemas.openxmlformats.org/officeDocument/2006/relationships/vmlDrawing" Target="../drawings/vmlDrawing18.vml"/><Relationship Id="rId4" Type="http://schemas.openxmlformats.org/officeDocument/2006/relationships/printerSettings" Target="../printerSettings/printerSettings8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8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6" Type="http://schemas.openxmlformats.org/officeDocument/2006/relationships/comments" Target="../comments19.xml"/><Relationship Id="rId5" Type="http://schemas.openxmlformats.org/officeDocument/2006/relationships/vmlDrawing" Target="../drawings/vmlDrawing19.vml"/><Relationship Id="rId4" Type="http://schemas.openxmlformats.org/officeDocument/2006/relationships/printerSettings" Target="../printerSettings/printerSettings8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7" Type="http://schemas.microsoft.com/office/2017/10/relationships/threadedComment" Target="../threadedComments/threadedComment2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microsoft.com/office/2017/10/relationships/threadedComment" Target="../threadedComments/threadedComment3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79998168889431442"/>
    <pageSetUpPr fitToPage="1"/>
  </sheetPr>
  <dimension ref="A13:Q27"/>
  <sheetViews>
    <sheetView zoomScaleNormal="100" zoomScaleSheetLayoutView="96" workbookViewId="0">
      <selection activeCell="E21" sqref="E21"/>
    </sheetView>
  </sheetViews>
  <sheetFormatPr defaultRowHeight="12.75"/>
  <cols>
    <col min="1" max="1" width="5.5703125" customWidth="1"/>
    <col min="17" max="17" width="17.140625" customWidth="1"/>
  </cols>
  <sheetData>
    <row r="13" spans="1:17" ht="18.75">
      <c r="A13" s="301" t="s">
        <v>390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</row>
    <row r="14" spans="1:17" ht="18.75">
      <c r="A14" s="300" t="s">
        <v>574</v>
      </c>
    </row>
    <row r="17" spans="1:17" ht="37.5">
      <c r="A17" s="302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3" t="s">
        <v>393</v>
      </c>
    </row>
    <row r="18" spans="1:17" ht="45">
      <c r="A18" s="302"/>
      <c r="B18" s="302"/>
      <c r="C18" s="398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4" t="s">
        <v>394</v>
      </c>
    </row>
    <row r="19" spans="1:17" ht="37.5">
      <c r="A19" s="302"/>
      <c r="B19" s="460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3" t="s">
        <v>556</v>
      </c>
    </row>
    <row r="20" spans="1:17" s="462" customFormat="1" ht="33">
      <c r="A20" s="459"/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61" t="s">
        <v>553</v>
      </c>
    </row>
    <row r="21" spans="1:17" s="462" customFormat="1" ht="33">
      <c r="A21" s="459"/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65"/>
      <c r="M21" s="546"/>
      <c r="N21" s="546"/>
      <c r="O21" s="546"/>
      <c r="P21" s="545"/>
      <c r="Q21" s="569" t="s">
        <v>577</v>
      </c>
    </row>
    <row r="24" spans="1:17">
      <c r="I24" s="87"/>
      <c r="J24" s="50"/>
    </row>
    <row r="25" spans="1:17">
      <c r="J25" s="50"/>
    </row>
    <row r="26" spans="1:17">
      <c r="J26" s="50"/>
    </row>
    <row r="27" spans="1:17" ht="33">
      <c r="Q27" s="461"/>
    </row>
  </sheetData>
  <customSheetViews>
    <customSheetView guid="{AE6F0488-1842-4C89-B05F-A836B633FB8F}" showPageBreaks="1" showRuler="0">
      <selection activeCell="J27" sqref="J27"/>
      <pageMargins left="0.75" right="0.75" top="1" bottom="1" header="0.5" footer="0.5"/>
      <pageSetup orientation="landscape" r:id="rId1"/>
      <headerFooter alignWithMargins="0"/>
    </customSheetView>
    <customSheetView guid="{7CE6F7F4-8D8F-4334-ACEE-5BD88E482B05}" showPageBreaks="1" showRuler="0">
      <selection activeCell="J27" sqref="J27"/>
      <pageMargins left="0.75" right="0.75" top="1" bottom="1" header="0.5" footer="0.5"/>
      <pageSetup orientation="landscape" r:id="rId2"/>
      <headerFooter alignWithMargins="0"/>
    </customSheetView>
    <customSheetView guid="{FA63795C-EC4C-4AAB-B1D6-AA5370DAC04D}" showRuler="0">
      <selection activeCell="J27" sqref="J27"/>
      <pageMargins left="0.75" right="0.75" top="1" bottom="1" header="0.5" footer="0.5"/>
      <pageSetup orientation="landscape" r:id="rId3"/>
      <headerFooter alignWithMargins="0"/>
    </customSheetView>
  </customSheetViews>
  <phoneticPr fontId="5" type="noConversion"/>
  <pageMargins left="0.75" right="0.75" top="1" bottom="1" header="0.5" footer="0.5"/>
  <pageSetup paperSize="5" fitToHeight="0" orientation="landscape" r:id="rId4"/>
  <headerFooter alignWithMargins="0"/>
  <rowBreaks count="1" manualBreakCount="1">
    <brk id="22" max="16383" man="1"/>
  </rowBreak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8" tint="0.79998168889431442"/>
    <pageSetUpPr fitToPage="1"/>
  </sheetPr>
  <dimension ref="A1:Y660"/>
  <sheetViews>
    <sheetView view="pageBreakPreview" zoomScale="80" zoomScaleNormal="75" zoomScaleSheetLayoutView="8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.75"/>
  <cols>
    <col min="1" max="1" width="31.85546875" style="49" customWidth="1"/>
    <col min="2" max="2" width="13.5703125" style="82" customWidth="1"/>
    <col min="3" max="3" width="11.28515625" style="82" customWidth="1"/>
    <col min="4" max="4" width="12.5703125" style="82" customWidth="1"/>
    <col min="5" max="5" width="16.5703125" style="209" hidden="1" customWidth="1"/>
    <col min="6" max="6" width="18.5703125" style="82" bestFit="1" customWidth="1"/>
    <col min="7" max="7" width="16.5703125" style="82" customWidth="1"/>
    <col min="8" max="8" width="18.5703125" style="49" customWidth="1"/>
    <col min="9" max="9" width="14" style="49" customWidth="1"/>
    <col min="10" max="10" width="17.7109375" style="49" customWidth="1"/>
    <col min="11" max="11" width="15.42578125" style="49" customWidth="1"/>
    <col min="12" max="12" width="19.42578125" style="49" customWidth="1"/>
    <col min="13" max="13" width="16.7109375" style="49" customWidth="1"/>
    <col min="14" max="14" width="18.42578125" style="49" customWidth="1"/>
    <col min="15" max="15" width="12.42578125" style="49" customWidth="1"/>
    <col min="16" max="16" width="17.140625" style="49" customWidth="1"/>
    <col min="17" max="17" width="20.42578125" style="49" customWidth="1"/>
    <col min="18" max="18" width="9.140625" style="49"/>
    <col min="19" max="19" width="14.85546875" style="49" customWidth="1"/>
    <col min="20" max="20" width="14" style="49" customWidth="1"/>
    <col min="21" max="21" width="15" style="49" customWidth="1"/>
    <col min="22" max="22" width="14.85546875" style="49" customWidth="1"/>
    <col min="23" max="24" width="16.7109375" style="49" customWidth="1"/>
    <col min="25" max="16384" width="9.140625" style="49"/>
  </cols>
  <sheetData>
    <row r="1" spans="1:25" ht="15.75" customHeight="1">
      <c r="A1" s="1" t="s">
        <v>118</v>
      </c>
      <c r="B1" s="555" t="s">
        <v>570</v>
      </c>
      <c r="C1" s="475"/>
      <c r="D1" s="399"/>
      <c r="E1" s="399"/>
      <c r="F1" s="399"/>
      <c r="G1" s="399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ht="15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96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43"/>
      <c r="C4" s="51"/>
      <c r="D4" s="52"/>
      <c r="E4" s="203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25">
      <c r="A5" s="54" t="s">
        <v>10</v>
      </c>
      <c r="B5" s="51"/>
      <c r="C5" s="51"/>
      <c r="D5" s="52"/>
      <c r="E5" s="203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5">
      <c r="A6" s="50"/>
      <c r="B6" s="51"/>
      <c r="C6" s="51"/>
      <c r="D6" s="52"/>
      <c r="E6" s="203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5">
      <c r="A7" s="47" t="str">
        <f>A25</f>
        <v>STATE OF NEVADA</v>
      </c>
      <c r="B7" s="48">
        <f t="shared" ref="B7:Q7" si="0">B34</f>
        <v>0.17</v>
      </c>
      <c r="C7" s="48">
        <f t="shared" si="0"/>
        <v>0</v>
      </c>
      <c r="D7" s="43">
        <f t="shared" si="0"/>
        <v>15940</v>
      </c>
      <c r="E7" s="173"/>
      <c r="F7" s="43">
        <f t="shared" si="0"/>
        <v>1472840713.1994116</v>
      </c>
      <c r="G7" s="53">
        <f t="shared" si="0"/>
        <v>526671.40889999992</v>
      </c>
      <c r="H7" s="53">
        <f t="shared" si="0"/>
        <v>2110887.4906000001</v>
      </c>
      <c r="I7" s="53">
        <f t="shared" si="0"/>
        <v>0</v>
      </c>
      <c r="J7" s="53">
        <f t="shared" si="0"/>
        <v>133732.98000000001</v>
      </c>
      <c r="K7" s="53">
        <f t="shared" si="0"/>
        <v>17.87</v>
      </c>
      <c r="L7" s="53">
        <f t="shared" si="0"/>
        <v>2503843.7895</v>
      </c>
      <c r="M7" s="53">
        <f t="shared" si="0"/>
        <v>78520.09</v>
      </c>
      <c r="N7" s="53">
        <f t="shared" si="0"/>
        <v>2425323.6994999996</v>
      </c>
      <c r="O7" s="53">
        <f t="shared" si="0"/>
        <v>0</v>
      </c>
      <c r="P7" s="53">
        <f>P34</f>
        <v>16200</v>
      </c>
      <c r="Q7" s="53">
        <f t="shared" si="0"/>
        <v>2409123.6994999996</v>
      </c>
      <c r="W7" s="174" t="s">
        <v>15</v>
      </c>
      <c r="X7" s="284">
        <f>Q27+Q55+Q74+Q86+Q100+Q112+Q124+Q136+Q148+Q160+Q172+Q184+Q196+Q208+Q220</f>
        <v>20423314.339999992</v>
      </c>
      <c r="Y7" s="390" t="s">
        <v>461</v>
      </c>
    </row>
    <row r="8" spans="1:25">
      <c r="A8" s="49" t="str">
        <f>A37</f>
        <v>GENERAL COUNTY</v>
      </c>
      <c r="B8" s="48">
        <f t="shared" ref="B8:Q8" si="1">B62</f>
        <v>0.85120000000000007</v>
      </c>
      <c r="C8" s="48">
        <f t="shared" si="1"/>
        <v>0</v>
      </c>
      <c r="D8" s="43">
        <f t="shared" si="1"/>
        <v>15940</v>
      </c>
      <c r="E8" s="173"/>
      <c r="F8" s="43">
        <f t="shared" si="1"/>
        <v>1472840743.1944358</v>
      </c>
      <c r="G8" s="53">
        <f t="shared" si="1"/>
        <v>2637075.2383040003</v>
      </c>
      <c r="H8" s="53">
        <f t="shared" si="1"/>
        <v>10569350.460015999</v>
      </c>
      <c r="I8" s="53">
        <f t="shared" si="1"/>
        <v>0</v>
      </c>
      <c r="J8" s="53">
        <f t="shared" si="1"/>
        <v>669571.79</v>
      </c>
      <c r="K8" s="53">
        <f t="shared" si="1"/>
        <v>89.47</v>
      </c>
      <c r="L8" s="53">
        <f t="shared" si="1"/>
        <v>12536943.378320001</v>
      </c>
      <c r="M8" s="53">
        <f t="shared" si="1"/>
        <v>686677.69</v>
      </c>
      <c r="N8" s="53">
        <f t="shared" si="1"/>
        <v>11850265.688320002</v>
      </c>
      <c r="O8" s="53">
        <f t="shared" si="1"/>
        <v>0</v>
      </c>
      <c r="P8" s="53">
        <f>P62</f>
        <v>98350</v>
      </c>
      <c r="Q8" s="53">
        <f t="shared" si="1"/>
        <v>11751915.688320002</v>
      </c>
      <c r="W8" s="171" t="s">
        <v>16</v>
      </c>
      <c r="X8" s="284">
        <f t="shared" ref="X8:X14" si="2">Q28+Q56+Q75+Q87+Q101+Q113+Q125+Q137+Q149+Q161+Q173+Q185+Q197+Q209+Q221</f>
        <v>5847470.8755090004</v>
      </c>
    </row>
    <row r="9" spans="1:25">
      <c r="A9" s="47" t="str">
        <f>A72</f>
        <v>SCHOOL DISTRICT</v>
      </c>
      <c r="B9" s="48">
        <f t="shared" ref="B9:Q9" si="3">B95</f>
        <v>0.88500000000000001</v>
      </c>
      <c r="C9" s="48">
        <f t="shared" si="3"/>
        <v>0</v>
      </c>
      <c r="D9" s="43">
        <f t="shared" si="3"/>
        <v>15940</v>
      </c>
      <c r="E9" s="173"/>
      <c r="F9" s="43">
        <f t="shared" si="3"/>
        <v>1472840732.3366663</v>
      </c>
      <c r="G9" s="53">
        <f t="shared" si="3"/>
        <v>2741789.94545</v>
      </c>
      <c r="H9" s="53">
        <f t="shared" si="3"/>
        <v>10989038.454300001</v>
      </c>
      <c r="I9" s="53">
        <f t="shared" si="3"/>
        <v>0</v>
      </c>
      <c r="J9" s="53">
        <f t="shared" si="3"/>
        <v>696199.41</v>
      </c>
      <c r="K9" s="53">
        <f t="shared" si="3"/>
        <v>92.94</v>
      </c>
      <c r="L9" s="53">
        <f t="shared" si="3"/>
        <v>13034721.929749999</v>
      </c>
      <c r="M9" s="53">
        <f t="shared" si="3"/>
        <v>408765.38</v>
      </c>
      <c r="N9" s="53">
        <f t="shared" si="3"/>
        <v>12625956.54975</v>
      </c>
      <c r="O9" s="53">
        <f t="shared" si="3"/>
        <v>0</v>
      </c>
      <c r="P9" s="53">
        <f>P95</f>
        <v>100200</v>
      </c>
      <c r="Q9" s="53">
        <f t="shared" si="3"/>
        <v>12525756.54975</v>
      </c>
      <c r="W9" s="171" t="s">
        <v>17</v>
      </c>
      <c r="X9" s="284">
        <f t="shared" si="2"/>
        <v>5088128.4967720024</v>
      </c>
    </row>
    <row r="10" spans="1:25">
      <c r="A10" s="49" t="str">
        <f>A98</f>
        <v>CITY OF WINNEMUCCA</v>
      </c>
      <c r="B10" s="48">
        <f t="shared" ref="B10:Q10" si="4">B107</f>
        <v>0.97</v>
      </c>
      <c r="C10" s="48">
        <f t="shared" si="4"/>
        <v>0</v>
      </c>
      <c r="D10" s="43">
        <f t="shared" si="4"/>
        <v>3444</v>
      </c>
      <c r="E10" s="173"/>
      <c r="F10" s="43">
        <f t="shared" si="4"/>
        <v>355570358.18298972</v>
      </c>
      <c r="G10" s="53">
        <f t="shared" si="4"/>
        <v>210475.17729999998</v>
      </c>
      <c r="H10" s="53">
        <f t="shared" si="4"/>
        <v>3245871.1593999998</v>
      </c>
      <c r="I10" s="53">
        <f t="shared" si="4"/>
        <v>0</v>
      </c>
      <c r="J10" s="53">
        <f t="shared" si="4"/>
        <v>9602.4700000000012</v>
      </c>
      <c r="K10" s="53">
        <f t="shared" si="4"/>
        <v>9.0299999999999994</v>
      </c>
      <c r="L10" s="53">
        <f t="shared" si="4"/>
        <v>3446752.8966999995</v>
      </c>
      <c r="M10" s="53">
        <f t="shared" si="4"/>
        <v>184372</v>
      </c>
      <c r="N10" s="53">
        <f t="shared" si="4"/>
        <v>3262380.896699999</v>
      </c>
      <c r="O10" s="53">
        <f t="shared" si="4"/>
        <v>0</v>
      </c>
      <c r="P10" s="53">
        <f>P107</f>
        <v>0</v>
      </c>
      <c r="Q10" s="53">
        <f t="shared" si="4"/>
        <v>3262380.896699999</v>
      </c>
      <c r="W10" s="171" t="s">
        <v>18</v>
      </c>
      <c r="X10" s="284"/>
    </row>
    <row r="11" spans="1:25">
      <c r="A11" s="49" t="str">
        <f>A110</f>
        <v>GOLCONDA FIRE PROTECTION DISTRICT</v>
      </c>
      <c r="B11" s="48">
        <f t="shared" ref="B11:Q11" si="5">B119</f>
        <v>2.9000000000000001E-2</v>
      </c>
      <c r="C11" s="48">
        <f t="shared" si="5"/>
        <v>0</v>
      </c>
      <c r="D11" s="43">
        <f t="shared" si="5"/>
        <v>2868</v>
      </c>
      <c r="E11" s="173"/>
      <c r="F11" s="43">
        <f t="shared" si="5"/>
        <v>401506207.17965519</v>
      </c>
      <c r="G11" s="53">
        <f t="shared" si="5"/>
        <v>23257.699289999997</v>
      </c>
      <c r="H11" s="53">
        <f t="shared" si="5"/>
        <v>113306.97542</v>
      </c>
      <c r="I11" s="53">
        <f t="shared" si="5"/>
        <v>0</v>
      </c>
      <c r="J11" s="53">
        <f t="shared" si="5"/>
        <v>20785.36</v>
      </c>
      <c r="K11" s="53">
        <f t="shared" si="5"/>
        <v>1.06</v>
      </c>
      <c r="L11" s="53">
        <f t="shared" si="5"/>
        <v>115780.37470999999</v>
      </c>
      <c r="M11" s="53">
        <f t="shared" si="5"/>
        <v>1557.8000000000002</v>
      </c>
      <c r="N11" s="53">
        <f t="shared" si="5"/>
        <v>114222.57471</v>
      </c>
      <c r="O11" s="53">
        <f t="shared" si="5"/>
        <v>0</v>
      </c>
      <c r="P11" s="53">
        <f>P119</f>
        <v>3300</v>
      </c>
      <c r="Q11" s="53">
        <f t="shared" si="5"/>
        <v>110922.57471</v>
      </c>
      <c r="S11" s="53">
        <f>SUM(L11:L20)</f>
        <v>6447394.6580110015</v>
      </c>
      <c r="T11" s="53">
        <f>SUM(Q11:Q20)</f>
        <v>6191984.6180110006</v>
      </c>
      <c r="W11" s="285" t="s">
        <v>19</v>
      </c>
      <c r="X11" s="284">
        <f t="shared" si="2"/>
        <v>4350158.7799999993</v>
      </c>
      <c r="Y11" s="390" t="s">
        <v>461</v>
      </c>
    </row>
    <row r="12" spans="1:25">
      <c r="A12" s="47" t="str">
        <f>A122</f>
        <v>HUMBOLDT COUNTY FIRE DISTRICT</v>
      </c>
      <c r="B12" s="48">
        <f t="shared" ref="B12:Q12" si="6">B131</f>
        <v>0.1047</v>
      </c>
      <c r="C12" s="48">
        <f t="shared" si="6"/>
        <v>0</v>
      </c>
      <c r="D12" s="43">
        <f t="shared" si="6"/>
        <v>1777</v>
      </c>
      <c r="E12" s="173"/>
      <c r="F12" s="43">
        <f t="shared" si="6"/>
        <v>70375565.203390643</v>
      </c>
      <c r="G12" s="53">
        <f t="shared" si="6"/>
        <v>5452.3864730000005</v>
      </c>
      <c r="H12" s="53">
        <f t="shared" si="6"/>
        <v>68423.713889000006</v>
      </c>
      <c r="I12" s="53">
        <f t="shared" si="6"/>
        <v>0</v>
      </c>
      <c r="J12" s="53">
        <f t="shared" si="6"/>
        <v>363.49</v>
      </c>
      <c r="K12" s="53">
        <f t="shared" si="6"/>
        <v>0</v>
      </c>
      <c r="L12" s="53">
        <f t="shared" si="6"/>
        <v>73512.610362000007</v>
      </c>
      <c r="M12" s="53">
        <f t="shared" si="6"/>
        <v>3799.2999999999997</v>
      </c>
      <c r="N12" s="53">
        <f t="shared" si="6"/>
        <v>69713.310361999989</v>
      </c>
      <c r="O12" s="53">
        <f t="shared" si="6"/>
        <v>0</v>
      </c>
      <c r="P12" s="53">
        <f>P131</f>
        <v>0</v>
      </c>
      <c r="Q12" s="53">
        <f t="shared" si="6"/>
        <v>69713.310361999989</v>
      </c>
      <c r="W12" s="285" t="s">
        <v>20</v>
      </c>
      <c r="X12" s="284">
        <f t="shared" si="2"/>
        <v>432088.95999999996</v>
      </c>
      <c r="Y12" s="390" t="s">
        <v>461</v>
      </c>
    </row>
    <row r="13" spans="1:25">
      <c r="A13" s="47" t="str">
        <f>A134</f>
        <v>HUMBOLDT COUNTY HOSPITAL DISTRICT</v>
      </c>
      <c r="B13" s="48">
        <f t="shared" ref="B13:Q13" si="7">B143</f>
        <v>0.39539999999999997</v>
      </c>
      <c r="C13" s="48">
        <f t="shared" si="7"/>
        <v>0</v>
      </c>
      <c r="D13" s="43">
        <f t="shared" si="7"/>
        <v>15940</v>
      </c>
      <c r="E13" s="173"/>
      <c r="F13" s="43">
        <f t="shared" si="7"/>
        <v>1480261419.6986444</v>
      </c>
      <c r="G13" s="53">
        <f t="shared" si="7"/>
        <v>1224976.013418</v>
      </c>
      <c r="H13" s="53">
        <f t="shared" si="7"/>
        <v>4909681.061772</v>
      </c>
      <c r="I13" s="53">
        <f t="shared" si="7"/>
        <v>0</v>
      </c>
      <c r="J13" s="53">
        <f t="shared" si="7"/>
        <v>311047.90999999997</v>
      </c>
      <c r="K13" s="53">
        <f t="shared" si="7"/>
        <v>41.54</v>
      </c>
      <c r="L13" s="53">
        <f t="shared" si="7"/>
        <v>5823650.7051900001</v>
      </c>
      <c r="M13" s="53">
        <f t="shared" si="7"/>
        <v>182627.72</v>
      </c>
      <c r="N13" s="53">
        <f t="shared" si="7"/>
        <v>5641022.9851900004</v>
      </c>
      <c r="O13" s="53">
        <f t="shared" si="7"/>
        <v>0</v>
      </c>
      <c r="P13" s="53">
        <f>P143</f>
        <v>45000</v>
      </c>
      <c r="Q13" s="53">
        <f t="shared" si="7"/>
        <v>5596022.9851900004</v>
      </c>
      <c r="W13" s="174"/>
      <c r="X13" s="284"/>
    </row>
    <row r="14" spans="1:25">
      <c r="A14" s="49" t="str">
        <f>A146</f>
        <v>KINGS RIVER GID</v>
      </c>
      <c r="B14" s="48">
        <f t="shared" ref="B14:Q14" si="8">B155</f>
        <v>0.2</v>
      </c>
      <c r="C14" s="48">
        <f t="shared" si="8"/>
        <v>0</v>
      </c>
      <c r="D14" s="43">
        <f t="shared" si="8"/>
        <v>92</v>
      </c>
      <c r="E14" s="173"/>
      <c r="F14" s="43">
        <f t="shared" si="8"/>
        <v>8882383.3800000008</v>
      </c>
      <c r="G14" s="53">
        <f t="shared" si="8"/>
        <v>659.65000000000009</v>
      </c>
      <c r="H14" s="53">
        <f t="shared" si="8"/>
        <v>17108.77</v>
      </c>
      <c r="I14" s="53">
        <f t="shared" si="8"/>
        <v>0</v>
      </c>
      <c r="J14" s="53">
        <f t="shared" si="8"/>
        <v>3.94</v>
      </c>
      <c r="K14" s="53">
        <f t="shared" si="8"/>
        <v>0</v>
      </c>
      <c r="L14" s="53">
        <f t="shared" si="8"/>
        <v>17764.48</v>
      </c>
      <c r="M14" s="53">
        <f t="shared" si="8"/>
        <v>766.46</v>
      </c>
      <c r="N14" s="53">
        <f t="shared" si="8"/>
        <v>16998.020000000004</v>
      </c>
      <c r="O14" s="53">
        <f t="shared" si="8"/>
        <v>0</v>
      </c>
      <c r="P14" s="53">
        <f>P155</f>
        <v>0</v>
      </c>
      <c r="Q14" s="53">
        <f t="shared" si="8"/>
        <v>16998.020000000004</v>
      </c>
      <c r="W14" s="174"/>
      <c r="X14" s="284">
        <f t="shared" si="2"/>
        <v>36141161.452281006</v>
      </c>
    </row>
    <row r="15" spans="1:25">
      <c r="A15" s="55" t="str">
        <f>A158</f>
        <v>MCDERMITT FIRE PROTECTION DISTRICT</v>
      </c>
      <c r="B15" s="48">
        <f t="shared" ref="B15:Q15" si="9">B167</f>
        <v>0.46550000000000002</v>
      </c>
      <c r="C15" s="48">
        <f t="shared" si="9"/>
        <v>0</v>
      </c>
      <c r="D15" s="43">
        <f t="shared" si="9"/>
        <v>430</v>
      </c>
      <c r="E15" s="173"/>
      <c r="F15" s="43">
        <f t="shared" si="9"/>
        <v>8071851.6667024698</v>
      </c>
      <c r="G15" s="53">
        <f t="shared" si="9"/>
        <v>4216.8507250000002</v>
      </c>
      <c r="H15" s="53">
        <f t="shared" si="9"/>
        <v>33551.735265000003</v>
      </c>
      <c r="I15" s="53">
        <f t="shared" si="9"/>
        <v>0</v>
      </c>
      <c r="J15" s="53">
        <f t="shared" si="9"/>
        <v>202.73999999999998</v>
      </c>
      <c r="K15" s="53">
        <f t="shared" si="9"/>
        <v>0</v>
      </c>
      <c r="L15" s="53">
        <f t="shared" si="9"/>
        <v>37565.845990000002</v>
      </c>
      <c r="M15" s="53">
        <f t="shared" si="9"/>
        <v>2021.2800000000002</v>
      </c>
      <c r="N15" s="53">
        <f t="shared" si="9"/>
        <v>35544.565990000003</v>
      </c>
      <c r="O15" s="53">
        <f t="shared" si="9"/>
        <v>0</v>
      </c>
      <c r="P15" s="53">
        <f>P167</f>
        <v>0</v>
      </c>
      <c r="Q15" s="53">
        <f t="shared" si="9"/>
        <v>35544.565990000003</v>
      </c>
    </row>
    <row r="16" spans="1:25">
      <c r="A16" s="49" t="str">
        <f>A170</f>
        <v>OROVADA COMMUNITY SERVICES DISTRICT</v>
      </c>
      <c r="B16" s="48">
        <f t="shared" ref="B16:Q16" si="10">B179</f>
        <v>9.74E-2</v>
      </c>
      <c r="C16" s="48">
        <f t="shared" si="10"/>
        <v>0</v>
      </c>
      <c r="D16" s="43">
        <f t="shared" si="10"/>
        <v>421</v>
      </c>
      <c r="E16" s="173"/>
      <c r="F16" s="43">
        <f t="shared" si="10"/>
        <v>21766691.818603694</v>
      </c>
      <c r="G16" s="53">
        <f t="shared" si="10"/>
        <v>1346.777102</v>
      </c>
      <c r="H16" s="53">
        <f t="shared" si="10"/>
        <v>19957.658805999999</v>
      </c>
      <c r="I16" s="53">
        <f t="shared" si="10"/>
        <v>0</v>
      </c>
      <c r="J16" s="53">
        <f t="shared" si="10"/>
        <v>106.58999999999999</v>
      </c>
      <c r="K16" s="53">
        <f t="shared" si="10"/>
        <v>0.21</v>
      </c>
      <c r="L16" s="53">
        <f t="shared" si="10"/>
        <v>21198.055907999998</v>
      </c>
      <c r="M16" s="53">
        <f t="shared" si="10"/>
        <v>643.42999999999995</v>
      </c>
      <c r="N16" s="53">
        <f t="shared" si="10"/>
        <v>20554.625907999998</v>
      </c>
      <c r="O16" s="53">
        <f t="shared" si="10"/>
        <v>0</v>
      </c>
      <c r="P16" s="53">
        <f>P179</f>
        <v>0</v>
      </c>
      <c r="Q16" s="53">
        <f t="shared" si="10"/>
        <v>20554.625907999998</v>
      </c>
    </row>
    <row r="17" spans="1:24">
      <c r="A17" s="49" t="str">
        <f>A182</f>
        <v>OROVADA FIRE PROTECTION DISTRICT</v>
      </c>
      <c r="B17" s="48">
        <f t="shared" ref="B17:Q17" si="11">B191</f>
        <v>0.15</v>
      </c>
      <c r="C17" s="48">
        <f t="shared" si="11"/>
        <v>0</v>
      </c>
      <c r="D17" s="43">
        <f t="shared" si="11"/>
        <v>421</v>
      </c>
      <c r="E17" s="173"/>
      <c r="F17" s="43">
        <f t="shared" si="11"/>
        <v>21766682.690000001</v>
      </c>
      <c r="G17" s="53">
        <f t="shared" si="11"/>
        <v>2074.0995000000003</v>
      </c>
      <c r="H17" s="53">
        <f t="shared" si="11"/>
        <v>30735.423500000001</v>
      </c>
      <c r="I17" s="53">
        <f t="shared" si="11"/>
        <v>0</v>
      </c>
      <c r="J17" s="53">
        <f t="shared" si="11"/>
        <v>164.14</v>
      </c>
      <c r="K17" s="53">
        <f t="shared" si="11"/>
        <v>0.33</v>
      </c>
      <c r="L17" s="53">
        <f t="shared" si="11"/>
        <v>32645.713</v>
      </c>
      <c r="M17" s="53">
        <f t="shared" si="11"/>
        <v>990.96999999999991</v>
      </c>
      <c r="N17" s="53">
        <f t="shared" si="11"/>
        <v>31654.743000000002</v>
      </c>
      <c r="O17" s="53">
        <f t="shared" si="11"/>
        <v>0</v>
      </c>
      <c r="P17" s="53">
        <f>P191</f>
        <v>0</v>
      </c>
      <c r="Q17" s="53">
        <f t="shared" si="11"/>
        <v>31654.743000000002</v>
      </c>
    </row>
    <row r="18" spans="1:24">
      <c r="A18" s="49" t="str">
        <f>A194</f>
        <v>PARADISE VALLEY FIRE DISTRICT</v>
      </c>
      <c r="B18" s="48">
        <f t="shared" ref="B18:Q18" si="12">B203</f>
        <v>0.17449999999999999</v>
      </c>
      <c r="C18" s="48">
        <f t="shared" si="12"/>
        <v>0</v>
      </c>
      <c r="D18" s="43">
        <f t="shared" si="12"/>
        <v>1451</v>
      </c>
      <c r="E18" s="173"/>
      <c r="F18" s="43">
        <f t="shared" si="12"/>
        <v>41796120.041174784</v>
      </c>
      <c r="G18" s="53">
        <f t="shared" si="12"/>
        <v>4998.9446699999999</v>
      </c>
      <c r="H18" s="53">
        <f t="shared" si="12"/>
        <v>68147.929940000002</v>
      </c>
      <c r="I18" s="53">
        <f t="shared" si="12"/>
        <v>0</v>
      </c>
      <c r="J18" s="53">
        <f t="shared" si="12"/>
        <v>781.79</v>
      </c>
      <c r="K18" s="53">
        <f t="shared" si="12"/>
        <v>1.4</v>
      </c>
      <c r="L18" s="53">
        <f t="shared" si="12"/>
        <v>72366.48461</v>
      </c>
      <c r="M18" s="53">
        <f t="shared" si="12"/>
        <v>2924.16</v>
      </c>
      <c r="N18" s="53">
        <f t="shared" si="12"/>
        <v>69442.324610000011</v>
      </c>
      <c r="O18" s="53">
        <f t="shared" si="12"/>
        <v>0</v>
      </c>
      <c r="P18" s="53">
        <f>P203</f>
        <v>0</v>
      </c>
      <c r="Q18" s="53">
        <f t="shared" si="12"/>
        <v>69442.324610000011</v>
      </c>
    </row>
    <row r="19" spans="1:24">
      <c r="A19" s="49" t="str">
        <f>A206</f>
        <v>PUEBLO FIRE PROTECTION DISTRICT</v>
      </c>
      <c r="B19" s="48">
        <f t="shared" ref="B19:Q19" si="13">B215</f>
        <v>0.35</v>
      </c>
      <c r="C19" s="48">
        <f t="shared" si="13"/>
        <v>0</v>
      </c>
      <c r="D19" s="43">
        <f t="shared" si="13"/>
        <v>201</v>
      </c>
      <c r="E19" s="173"/>
      <c r="F19" s="43">
        <f t="shared" si="13"/>
        <v>24363588.169999998</v>
      </c>
      <c r="G19" s="53">
        <f t="shared" si="13"/>
        <v>27093.670999999998</v>
      </c>
      <c r="H19" s="53">
        <f t="shared" si="13"/>
        <v>58229.057000000001</v>
      </c>
      <c r="I19" s="53">
        <f t="shared" si="13"/>
        <v>0</v>
      </c>
      <c r="J19" s="53">
        <f t="shared" si="13"/>
        <v>5275.96</v>
      </c>
      <c r="K19" s="53">
        <f t="shared" si="13"/>
        <v>0</v>
      </c>
      <c r="L19" s="53">
        <f t="shared" si="13"/>
        <v>80046.767999999996</v>
      </c>
      <c r="M19" s="53">
        <f t="shared" si="13"/>
        <v>1552.6</v>
      </c>
      <c r="N19" s="53">
        <f t="shared" si="13"/>
        <v>78494.168000000005</v>
      </c>
      <c r="O19" s="53">
        <f t="shared" si="13"/>
        <v>0</v>
      </c>
      <c r="P19" s="53">
        <f>P215</f>
        <v>0</v>
      </c>
      <c r="Q19" s="53">
        <f t="shared" si="13"/>
        <v>78494.168000000005</v>
      </c>
    </row>
    <row r="20" spans="1:24">
      <c r="A20" s="49" t="str">
        <f>A218</f>
        <v>WINNEMUCCA RURAL FIRE PROTECTION DISTRICT</v>
      </c>
      <c r="B20" s="48">
        <f t="shared" ref="B20:Q20" si="14">B227</f>
        <v>0.1047</v>
      </c>
      <c r="C20" s="48">
        <f t="shared" si="14"/>
        <v>0</v>
      </c>
      <c r="D20" s="43">
        <f t="shared" si="14"/>
        <v>3001</v>
      </c>
      <c r="E20" s="173"/>
      <c r="F20" s="43">
        <f t="shared" si="14"/>
        <v>165419599.2103152</v>
      </c>
      <c r="G20" s="53">
        <f t="shared" si="14"/>
        <v>7427.6733769999992</v>
      </c>
      <c r="H20" s="53">
        <f t="shared" si="14"/>
        <v>166372.15686400002</v>
      </c>
      <c r="I20" s="53">
        <f t="shared" si="14"/>
        <v>0</v>
      </c>
      <c r="J20" s="53">
        <f t="shared" si="14"/>
        <v>939.29</v>
      </c>
      <c r="K20" s="53">
        <f t="shared" si="14"/>
        <v>3.08</v>
      </c>
      <c r="L20" s="53">
        <f t="shared" si="14"/>
        <v>172863.620241</v>
      </c>
      <c r="M20" s="53">
        <f t="shared" si="14"/>
        <v>10226.32</v>
      </c>
      <c r="N20" s="53">
        <f t="shared" si="14"/>
        <v>162637.30024099999</v>
      </c>
      <c r="O20" s="53">
        <f t="shared" si="14"/>
        <v>0</v>
      </c>
      <c r="P20" s="53">
        <f>P227</f>
        <v>0</v>
      </c>
      <c r="Q20" s="53">
        <f t="shared" si="14"/>
        <v>162637.30024099999</v>
      </c>
    </row>
    <row r="21" spans="1:24">
      <c r="A21" s="57"/>
      <c r="B21" s="51"/>
      <c r="C21" s="51"/>
      <c r="D21" s="52"/>
      <c r="E21" s="203"/>
      <c r="F21" s="52"/>
      <c r="G21" s="53"/>
      <c r="H21" s="53"/>
      <c r="I21" s="53"/>
      <c r="J21" s="53"/>
      <c r="K21" s="53"/>
      <c r="L21" s="53"/>
      <c r="M21" s="53"/>
      <c r="N21" s="502"/>
      <c r="O21" s="53"/>
      <c r="P21" s="53"/>
      <c r="X21" s="53">
        <f>+X12-101316.95</f>
        <v>330772.00999999995</v>
      </c>
    </row>
    <row r="22" spans="1:24" ht="13.5" thickBot="1">
      <c r="A22" s="57" t="s">
        <v>14</v>
      </c>
      <c r="B22" s="51"/>
      <c r="C22" s="51"/>
      <c r="D22" s="69">
        <f>D7</f>
        <v>15940</v>
      </c>
      <c r="E22" s="204"/>
      <c r="F22" s="69">
        <f>F7</f>
        <v>1472840713.1994116</v>
      </c>
      <c r="G22" s="70">
        <f t="shared" ref="G22:Q22" si="15">SUM(G7:G21)</f>
        <v>7417515.5355090005</v>
      </c>
      <c r="H22" s="70">
        <f t="shared" si="15"/>
        <v>32400662.046771999</v>
      </c>
      <c r="I22" s="70">
        <f t="shared" si="15"/>
        <v>0</v>
      </c>
      <c r="J22" s="70">
        <f t="shared" si="15"/>
        <v>1848777.86</v>
      </c>
      <c r="K22" s="70">
        <f t="shared" si="15"/>
        <v>256.93</v>
      </c>
      <c r="L22" s="70">
        <f t="shared" si="15"/>
        <v>37969656.652281001</v>
      </c>
      <c r="M22" s="70">
        <f t="shared" si="15"/>
        <v>1565445.2</v>
      </c>
      <c r="N22" s="70">
        <f>SUM(N7:N21)</f>
        <v>36404211.452281006</v>
      </c>
      <c r="O22" s="70">
        <f t="shared" si="15"/>
        <v>0</v>
      </c>
      <c r="P22" s="70">
        <f t="shared" si="15"/>
        <v>263050</v>
      </c>
      <c r="Q22" s="70">
        <f t="shared" si="15"/>
        <v>36141161.452281006</v>
      </c>
    </row>
    <row r="23" spans="1:24" ht="13.5" thickBot="1">
      <c r="A23" s="60"/>
      <c r="B23" s="61"/>
      <c r="C23" s="61"/>
      <c r="D23" s="62"/>
      <c r="E23" s="215"/>
      <c r="F23" s="62"/>
      <c r="G23" s="63"/>
      <c r="H23" s="63"/>
      <c r="I23" s="63"/>
      <c r="J23" s="63"/>
      <c r="K23" s="63"/>
      <c r="L23" s="279" t="s">
        <v>388</v>
      </c>
      <c r="M23" s="280">
        <f>M22/L22</f>
        <v>4.1228847928124653E-2</v>
      </c>
      <c r="N23" s="63"/>
      <c r="O23" s="63"/>
      <c r="P23" s="63"/>
      <c r="Q23" s="63"/>
    </row>
    <row r="24" spans="1:24">
      <c r="A24" s="50"/>
      <c r="B24" s="51"/>
      <c r="C24" s="51"/>
      <c r="D24" s="52"/>
      <c r="E24" s="203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24">
      <c r="A25" s="54" t="s">
        <v>11</v>
      </c>
      <c r="B25" s="51"/>
      <c r="C25" s="51"/>
      <c r="D25" s="52"/>
      <c r="E25" s="203"/>
      <c r="F25" s="52"/>
      <c r="G25" s="64">
        <f>G27/B27*100</f>
        <v>21933776.470588233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24">
      <c r="A26" s="47"/>
      <c r="B26" s="48"/>
      <c r="C26" s="48"/>
      <c r="D26" s="43"/>
      <c r="E26" s="65">
        <v>272305317</v>
      </c>
      <c r="F26" s="4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1:24">
      <c r="A27" s="49" t="s">
        <v>15</v>
      </c>
      <c r="B27" s="404">
        <v>0.17</v>
      </c>
      <c r="C27" s="48">
        <v>0</v>
      </c>
      <c r="D27" s="336">
        <v>15940</v>
      </c>
      <c r="E27" s="173">
        <f>G27/B27*100</f>
        <v>21933776.470588233</v>
      </c>
      <c r="F27" s="336">
        <v>808610519</v>
      </c>
      <c r="G27" s="401">
        <v>37287.42</v>
      </c>
      <c r="H27" s="401">
        <v>1458415.27</v>
      </c>
      <c r="I27" s="53">
        <v>0</v>
      </c>
      <c r="J27" s="401">
        <v>121067.75</v>
      </c>
      <c r="K27">
        <v>17.87</v>
      </c>
      <c r="L27" s="53">
        <f>G27+H27+I27-J27+K27</f>
        <v>1374652.81</v>
      </c>
      <c r="M27" s="401">
        <v>74134.679999999993</v>
      </c>
      <c r="N27" s="53">
        <f>L27-M27</f>
        <v>1300518.1300000001</v>
      </c>
      <c r="O27" s="53">
        <v>0</v>
      </c>
      <c r="P27" s="53">
        <v>16200</v>
      </c>
      <c r="Q27" s="53">
        <f>N27-O27-P27</f>
        <v>1284318.1300000001</v>
      </c>
    </row>
    <row r="28" spans="1:24">
      <c r="A28" s="47" t="s">
        <v>16</v>
      </c>
      <c r="B28" s="48">
        <v>0.17</v>
      </c>
      <c r="C28" s="48"/>
      <c r="D28" s="43"/>
      <c r="E28" s="173">
        <v>22058814</v>
      </c>
      <c r="F28" s="65">
        <f>IF(E26&gt;E27,E26-E27,0)</f>
        <v>250371540.52941176</v>
      </c>
      <c r="G28" s="53">
        <f>F28*(B28-C28)/100</f>
        <v>425631.6189</v>
      </c>
      <c r="H28" s="53"/>
      <c r="I28" s="53"/>
      <c r="J28" s="53"/>
      <c r="K28" s="53"/>
      <c r="L28" s="53">
        <f>G28+H28+I28-J28+K28</f>
        <v>425631.6189</v>
      </c>
      <c r="M28" s="53"/>
      <c r="N28" s="53">
        <f>L28-M28</f>
        <v>425631.6189</v>
      </c>
      <c r="O28" s="53"/>
      <c r="P28" s="53"/>
      <c r="Q28" s="53">
        <f>N28-O28-P28</f>
        <v>425631.6189</v>
      </c>
    </row>
    <row r="29" spans="1:24">
      <c r="A29" s="47" t="s">
        <v>17</v>
      </c>
      <c r="B29" s="48">
        <v>0.17</v>
      </c>
      <c r="C29" s="48"/>
      <c r="D29" s="43"/>
      <c r="E29" s="173"/>
      <c r="F29" s="66">
        <v>212308918</v>
      </c>
      <c r="G29" s="53"/>
      <c r="H29" s="53">
        <f>F29*(B29-C29)/100</f>
        <v>360925.1606</v>
      </c>
      <c r="I29" s="53">
        <v>0</v>
      </c>
      <c r="J29" s="53">
        <v>0</v>
      </c>
      <c r="K29" s="53">
        <v>0</v>
      </c>
      <c r="L29" s="53">
        <f>G29+H29+I29-J29+K29</f>
        <v>360925.1606</v>
      </c>
      <c r="M29" s="53">
        <v>0</v>
      </c>
      <c r="N29" s="53">
        <f>L29-M29</f>
        <v>360925.1606</v>
      </c>
      <c r="O29" s="53">
        <v>0</v>
      </c>
      <c r="P29" s="53">
        <v>0</v>
      </c>
      <c r="Q29" s="53">
        <f>N29-O29-P29</f>
        <v>360925.1606</v>
      </c>
    </row>
    <row r="30" spans="1:24">
      <c r="A30" s="47" t="s">
        <v>18</v>
      </c>
      <c r="B30" s="48"/>
      <c r="C30" s="48"/>
      <c r="D30" s="43"/>
      <c r="E30" s="173"/>
      <c r="F30" s="4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1:24">
      <c r="A31" s="67" t="s">
        <v>19</v>
      </c>
      <c r="B31" s="48">
        <v>0.17</v>
      </c>
      <c r="C31" s="48"/>
      <c r="D31" s="43"/>
      <c r="E31" s="173"/>
      <c r="F31" s="43">
        <v>184053121.80000001</v>
      </c>
      <c r="G31" s="53">
        <v>34943.93</v>
      </c>
      <c r="H31" s="53">
        <v>290611.62</v>
      </c>
      <c r="I31" s="53">
        <v>0</v>
      </c>
      <c r="J31" s="53">
        <v>12665.23</v>
      </c>
      <c r="K31" s="53">
        <v>0</v>
      </c>
      <c r="L31" s="53">
        <f>G31+H31+I31-J31+K31</f>
        <v>312890.32</v>
      </c>
      <c r="M31" s="53">
        <v>4383.3100000000004</v>
      </c>
      <c r="N31" s="53">
        <f>L31-M31</f>
        <v>308507.01</v>
      </c>
      <c r="O31" s="53">
        <v>0</v>
      </c>
      <c r="P31" s="53">
        <v>0</v>
      </c>
      <c r="Q31" s="53">
        <f>N31-O31-P31</f>
        <v>308507.01</v>
      </c>
    </row>
    <row r="32" spans="1:24">
      <c r="A32" s="67" t="s">
        <v>20</v>
      </c>
      <c r="B32" s="48">
        <v>0.17</v>
      </c>
      <c r="C32" s="48"/>
      <c r="D32" s="43"/>
      <c r="E32" s="173"/>
      <c r="F32" s="43">
        <v>17496613.870000001</v>
      </c>
      <c r="G32" s="53">
        <v>28808.44</v>
      </c>
      <c r="H32" s="53">
        <v>935.44</v>
      </c>
      <c r="I32" s="53">
        <v>0</v>
      </c>
      <c r="J32" s="53">
        <v>0</v>
      </c>
      <c r="K32" s="53">
        <v>0</v>
      </c>
      <c r="L32" s="53">
        <f>G32+H32+I32-J32+K32</f>
        <v>29743.879999999997</v>
      </c>
      <c r="M32" s="53">
        <v>2.1</v>
      </c>
      <c r="N32" s="53">
        <f>L32-M32</f>
        <v>29741.78</v>
      </c>
      <c r="O32" s="53">
        <v>0</v>
      </c>
      <c r="P32" s="53"/>
      <c r="Q32" s="53">
        <f>N32-O32-P32</f>
        <v>29741.78</v>
      </c>
    </row>
    <row r="33" spans="1:22">
      <c r="A33" s="47"/>
      <c r="B33" s="48"/>
      <c r="C33" s="48"/>
      <c r="D33" s="43"/>
      <c r="E33" s="173"/>
      <c r="F33" s="4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1:22" s="50" customFormat="1" ht="13.5" thickBot="1">
      <c r="A34" s="60" t="str">
        <f>"TOTAL "&amp;A25</f>
        <v>TOTAL STATE OF NEVADA</v>
      </c>
      <c r="B34" s="68">
        <f>B27</f>
        <v>0.17</v>
      </c>
      <c r="C34" s="68">
        <f>C27</f>
        <v>0</v>
      </c>
      <c r="D34" s="69">
        <f t="shared" ref="D34:Q34" si="16">SUM(D27:D29,D31:D32)</f>
        <v>15940</v>
      </c>
      <c r="E34" s="204"/>
      <c r="F34" s="69">
        <f>SUM(F27:F29,F31:F32)</f>
        <v>1472840713.1994116</v>
      </c>
      <c r="G34" s="70">
        <f t="shared" si="16"/>
        <v>526671.40889999992</v>
      </c>
      <c r="H34" s="70">
        <f t="shared" si="16"/>
        <v>2110887.4906000001</v>
      </c>
      <c r="I34" s="70">
        <f t="shared" si="16"/>
        <v>0</v>
      </c>
      <c r="J34" s="70">
        <f t="shared" si="16"/>
        <v>133732.98000000001</v>
      </c>
      <c r="K34" s="70">
        <f t="shared" si="16"/>
        <v>17.87</v>
      </c>
      <c r="L34" s="70">
        <f t="shared" si="16"/>
        <v>2503843.7895</v>
      </c>
      <c r="M34" s="70">
        <f t="shared" si="16"/>
        <v>78520.09</v>
      </c>
      <c r="N34" s="70">
        <f t="shared" si="16"/>
        <v>2425323.6994999996</v>
      </c>
      <c r="O34" s="70">
        <f t="shared" si="16"/>
        <v>0</v>
      </c>
      <c r="P34" s="70">
        <f t="shared" si="16"/>
        <v>16200</v>
      </c>
      <c r="Q34" s="70">
        <f t="shared" si="16"/>
        <v>2409123.6994999996</v>
      </c>
    </row>
    <row r="35" spans="1:22">
      <c r="A35" s="150" t="s">
        <v>355</v>
      </c>
      <c r="B35" s="48"/>
      <c r="C35" s="48"/>
      <c r="D35" s="43"/>
      <c r="E35" s="173"/>
      <c r="F35" s="64">
        <v>1472838703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</row>
    <row r="36" spans="1:22">
      <c r="A36" s="151" t="s">
        <v>30</v>
      </c>
      <c r="B36" s="51"/>
      <c r="C36" s="51"/>
      <c r="D36" s="52"/>
      <c r="E36" s="203"/>
      <c r="F36" s="152">
        <f>F34-F35</f>
        <v>2010.1994116306305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T36" s="266" t="s">
        <v>378</v>
      </c>
      <c r="U36" s="266" t="s">
        <v>384</v>
      </c>
      <c r="V36" s="266" t="s">
        <v>227</v>
      </c>
    </row>
    <row r="37" spans="1:22">
      <c r="A37" s="54" t="s">
        <v>12</v>
      </c>
      <c r="B37" s="48"/>
      <c r="C37" s="48"/>
      <c r="D37" s="43"/>
      <c r="E37" s="173"/>
      <c r="F37" s="43"/>
      <c r="G37" s="64"/>
      <c r="H37" s="53"/>
      <c r="I37" s="53"/>
      <c r="J37" s="53"/>
      <c r="K37" s="53"/>
      <c r="L37" s="53"/>
      <c r="M37" s="53"/>
      <c r="N37" s="53"/>
      <c r="O37" s="53"/>
      <c r="P37" s="53"/>
      <c r="Q37" s="53"/>
      <c r="T37" s="266" t="s">
        <v>379</v>
      </c>
      <c r="U37" s="266" t="s">
        <v>385</v>
      </c>
      <c r="V37" s="266" t="s">
        <v>382</v>
      </c>
    </row>
    <row r="38" spans="1:22">
      <c r="A38" s="47"/>
      <c r="B38" s="48"/>
      <c r="C38" s="48"/>
      <c r="D38" s="43"/>
      <c r="E38" s="173"/>
      <c r="F38" s="463">
        <f>(G55+H55)/B55*100</f>
        <v>879826452.06766891</v>
      </c>
      <c r="G38" s="463"/>
      <c r="H38" s="463">
        <f>F38-J38</f>
        <v>808614491.30639076</v>
      </c>
      <c r="I38" s="463"/>
      <c r="J38" s="463">
        <f>J55/B55*100</f>
        <v>71211960.761278197</v>
      </c>
      <c r="K38" s="53"/>
      <c r="L38" s="53"/>
      <c r="M38" s="53"/>
      <c r="N38" s="53"/>
      <c r="O38" s="53"/>
      <c r="P38" s="53"/>
      <c r="Q38" s="53"/>
      <c r="T38" s="266"/>
      <c r="U38" s="266" t="s">
        <v>381</v>
      </c>
      <c r="V38" s="266" t="s">
        <v>383</v>
      </c>
    </row>
    <row r="39" spans="1:22">
      <c r="A39" s="49" t="s">
        <v>15</v>
      </c>
      <c r="B39" s="48"/>
      <c r="C39" s="48"/>
      <c r="D39" s="43"/>
      <c r="E39" s="173"/>
      <c r="F39" s="4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T39" s="266"/>
      <c r="U39" s="266"/>
      <c r="V39" s="266"/>
    </row>
    <row r="40" spans="1:22">
      <c r="A40" s="103" t="s">
        <v>61</v>
      </c>
      <c r="B40" s="48">
        <v>0.45300000000000001</v>
      </c>
      <c r="C40" s="48">
        <v>0</v>
      </c>
      <c r="D40" s="43">
        <v>15940</v>
      </c>
      <c r="E40" s="173"/>
      <c r="F40" s="43">
        <v>808610519</v>
      </c>
      <c r="G40" s="53">
        <v>99359.91</v>
      </c>
      <c r="H40" s="53">
        <v>3886256.71</v>
      </c>
      <c r="I40" s="53">
        <v>0</v>
      </c>
      <c r="J40" s="53">
        <v>322573.40000000002</v>
      </c>
      <c r="K40" s="53">
        <v>47.6</v>
      </c>
      <c r="L40" s="53">
        <f>G40+H40+I40-J40+K40</f>
        <v>3663090.8200000003</v>
      </c>
      <c r="M40" s="53">
        <v>451258.83</v>
      </c>
      <c r="N40" s="53">
        <f>L40-M40</f>
        <v>3211831.99</v>
      </c>
      <c r="O40" s="18">
        <v>0</v>
      </c>
      <c r="P40" s="53">
        <v>51200</v>
      </c>
      <c r="Q40" s="53">
        <f>N40-O40-P40</f>
        <v>3160631.99</v>
      </c>
      <c r="T40" s="267">
        <f>B40/$B$55</f>
        <v>0.53218984962406013</v>
      </c>
      <c r="U40" s="153">
        <f>$T$60*T40</f>
        <v>2976105.0406237785</v>
      </c>
      <c r="V40" s="153">
        <f>Q40+U40</f>
        <v>6136737.0306237787</v>
      </c>
    </row>
    <row r="41" spans="1:22">
      <c r="A41" s="103" t="s">
        <v>130</v>
      </c>
      <c r="B41" s="48">
        <v>0.03</v>
      </c>
      <c r="C41" s="48">
        <f>+C40</f>
        <v>0</v>
      </c>
      <c r="D41" s="43">
        <v>15940</v>
      </c>
      <c r="E41" s="173"/>
      <c r="F41" s="43">
        <v>808610519</v>
      </c>
      <c r="G41" s="53">
        <v>6579.98</v>
      </c>
      <c r="H41" s="53">
        <v>257365.65</v>
      </c>
      <c r="I41" s="53">
        <v>0</v>
      </c>
      <c r="J41" s="53">
        <v>21365.08</v>
      </c>
      <c r="K41" s="53">
        <v>3.15</v>
      </c>
      <c r="L41" s="53">
        <f t="shared" ref="L41:L53" si="17">G41+H41+I41-J41+K41</f>
        <v>242583.69999999998</v>
      </c>
      <c r="M41" s="53">
        <v>13084.39</v>
      </c>
      <c r="N41" s="53">
        <f t="shared" ref="N41:N53" si="18">L41-M41</f>
        <v>229499.31</v>
      </c>
      <c r="O41" s="18">
        <v>0</v>
      </c>
      <c r="P41" s="53">
        <v>3400</v>
      </c>
      <c r="Q41" s="53">
        <f t="shared" ref="Q41:Q53" si="19">N41-O41-P41</f>
        <v>226099.31</v>
      </c>
      <c r="T41" s="267">
        <f t="shared" ref="T41:T53" si="20">B41/$B$55</f>
        <v>3.5244360902255634E-2</v>
      </c>
      <c r="U41" s="153">
        <f t="shared" ref="U41:U53" si="21">$T$60*T41</f>
        <v>197093.04904793232</v>
      </c>
      <c r="V41" s="153">
        <f t="shared" ref="V41:V53" si="22">Q41+U41</f>
        <v>423192.35904793232</v>
      </c>
    </row>
    <row r="42" spans="1:22">
      <c r="A42" s="103" t="s">
        <v>131</v>
      </c>
      <c r="B42" s="48">
        <v>2.2700000000000001E-2</v>
      </c>
      <c r="C42" s="48">
        <f t="shared" ref="C42:C53" si="23">+C41</f>
        <v>0</v>
      </c>
      <c r="D42" s="43">
        <v>15940</v>
      </c>
      <c r="E42" s="173"/>
      <c r="F42" s="43">
        <v>808610519</v>
      </c>
      <c r="G42" s="53">
        <v>4978.83</v>
      </c>
      <c r="H42" s="53">
        <v>194745.91</v>
      </c>
      <c r="I42" s="53">
        <v>0</v>
      </c>
      <c r="J42" s="53">
        <v>16166.21</v>
      </c>
      <c r="K42" s="53">
        <v>2.37</v>
      </c>
      <c r="L42" s="53">
        <f t="shared" si="17"/>
        <v>183560.9</v>
      </c>
      <c r="M42" s="53">
        <v>9900.32</v>
      </c>
      <c r="N42" s="53">
        <f t="shared" si="18"/>
        <v>173660.58</v>
      </c>
      <c r="O42" s="18">
        <v>0</v>
      </c>
      <c r="P42" s="53">
        <v>2550</v>
      </c>
      <c r="Q42" s="53">
        <f t="shared" si="19"/>
        <v>171110.58</v>
      </c>
      <c r="T42" s="267">
        <f t="shared" si="20"/>
        <v>2.6668233082706768E-2</v>
      </c>
      <c r="U42" s="153">
        <f t="shared" si="21"/>
        <v>149133.74044626881</v>
      </c>
      <c r="V42" s="153">
        <f t="shared" si="22"/>
        <v>320244.32044626877</v>
      </c>
    </row>
    <row r="43" spans="1:22">
      <c r="A43" s="103" t="s">
        <v>132</v>
      </c>
      <c r="B43" s="48">
        <v>1.4999999999999999E-2</v>
      </c>
      <c r="C43" s="48">
        <f t="shared" si="23"/>
        <v>0</v>
      </c>
      <c r="D43" s="43">
        <v>15940</v>
      </c>
      <c r="E43" s="173"/>
      <c r="F43" s="43">
        <v>808610519</v>
      </c>
      <c r="G43" s="53">
        <v>3290</v>
      </c>
      <c r="H43" s="53">
        <v>128680.65</v>
      </c>
      <c r="I43" s="53">
        <v>0</v>
      </c>
      <c r="J43" s="53">
        <v>10682.63</v>
      </c>
      <c r="K43" s="53">
        <v>1.57</v>
      </c>
      <c r="L43" s="53">
        <f t="shared" si="17"/>
        <v>121289.59</v>
      </c>
      <c r="M43" s="53">
        <v>6540.16</v>
      </c>
      <c r="N43" s="53">
        <f t="shared" si="18"/>
        <v>114749.43</v>
      </c>
      <c r="O43" s="18">
        <v>0</v>
      </c>
      <c r="P43" s="53">
        <v>1700</v>
      </c>
      <c r="Q43" s="53">
        <f t="shared" si="19"/>
        <v>113049.43</v>
      </c>
      <c r="T43" s="267">
        <f t="shared" si="20"/>
        <v>1.7622180451127817E-2</v>
      </c>
      <c r="U43" s="153">
        <f t="shared" si="21"/>
        <v>98546.52452396616</v>
      </c>
      <c r="V43" s="153">
        <f t="shared" si="22"/>
        <v>211595.95452396615</v>
      </c>
    </row>
    <row r="44" spans="1:22">
      <c r="A44" s="103" t="s">
        <v>133</v>
      </c>
      <c r="B44" s="48">
        <v>0.01</v>
      </c>
      <c r="C44" s="48">
        <f t="shared" si="23"/>
        <v>0</v>
      </c>
      <c r="D44" s="43">
        <v>15940</v>
      </c>
      <c r="E44" s="173"/>
      <c r="F44" s="43">
        <v>808610519</v>
      </c>
      <c r="G44" s="53">
        <v>2193.44</v>
      </c>
      <c r="H44" s="53">
        <v>85789.41</v>
      </c>
      <c r="I44" s="53">
        <v>0</v>
      </c>
      <c r="J44" s="53">
        <v>7121.04</v>
      </c>
      <c r="K44" s="53">
        <v>1.06</v>
      </c>
      <c r="L44" s="53">
        <f t="shared" si="17"/>
        <v>80862.87000000001</v>
      </c>
      <c r="M44" s="53">
        <v>4357.99</v>
      </c>
      <c r="N44" s="53">
        <f t="shared" si="18"/>
        <v>76504.88</v>
      </c>
      <c r="O44" s="18">
        <v>0</v>
      </c>
      <c r="P44" s="53">
        <v>1100</v>
      </c>
      <c r="Q44" s="53">
        <f t="shared" si="19"/>
        <v>75404.88</v>
      </c>
      <c r="T44" s="267">
        <f t="shared" si="20"/>
        <v>1.1748120300751879E-2</v>
      </c>
      <c r="U44" s="153">
        <f t="shared" si="21"/>
        <v>65697.68301597744</v>
      </c>
      <c r="V44" s="153">
        <f t="shared" si="22"/>
        <v>141102.56301597744</v>
      </c>
    </row>
    <row r="45" spans="1:22">
      <c r="A45" s="103" t="s">
        <v>134</v>
      </c>
      <c r="B45" s="48">
        <v>0.01</v>
      </c>
      <c r="C45" s="48">
        <f t="shared" si="23"/>
        <v>0</v>
      </c>
      <c r="D45" s="43">
        <v>15940</v>
      </c>
      <c r="E45" s="173"/>
      <c r="F45" s="43">
        <v>808610519</v>
      </c>
      <c r="G45" s="53">
        <v>2193.44</v>
      </c>
      <c r="H45" s="53">
        <v>85788.74</v>
      </c>
      <c r="I45" s="53">
        <v>0</v>
      </c>
      <c r="J45" s="53">
        <v>7121.03</v>
      </c>
      <c r="K45" s="53">
        <v>1.06</v>
      </c>
      <c r="L45" s="53">
        <f t="shared" si="17"/>
        <v>80862.210000000006</v>
      </c>
      <c r="M45" s="53">
        <v>4357.95</v>
      </c>
      <c r="N45" s="53">
        <f t="shared" si="18"/>
        <v>76504.260000000009</v>
      </c>
      <c r="O45" s="18">
        <v>0</v>
      </c>
      <c r="P45" s="53">
        <v>1100</v>
      </c>
      <c r="Q45" s="53">
        <f t="shared" si="19"/>
        <v>75404.260000000009</v>
      </c>
      <c r="T45" s="267">
        <f t="shared" si="20"/>
        <v>1.1748120300751879E-2</v>
      </c>
      <c r="U45" s="153">
        <f t="shared" si="21"/>
        <v>65697.68301597744</v>
      </c>
      <c r="V45" s="153">
        <f t="shared" si="22"/>
        <v>141101.94301597745</v>
      </c>
    </row>
    <row r="46" spans="1:22">
      <c r="A46" s="103" t="s">
        <v>135</v>
      </c>
      <c r="B46" s="48">
        <v>0.1686</v>
      </c>
      <c r="C46" s="48">
        <f t="shared" si="23"/>
        <v>0</v>
      </c>
      <c r="D46" s="43">
        <v>15940</v>
      </c>
      <c r="E46" s="173"/>
      <c r="F46" s="43">
        <v>808610519</v>
      </c>
      <c r="G46" s="53">
        <v>36980.29</v>
      </c>
      <c r="H46" s="53">
        <v>1446413.38</v>
      </c>
      <c r="I46" s="53">
        <v>0</v>
      </c>
      <c r="J46" s="53">
        <v>120071.53</v>
      </c>
      <c r="K46" s="53">
        <v>17.73</v>
      </c>
      <c r="L46" s="53">
        <f t="shared" si="17"/>
        <v>1363339.8699999999</v>
      </c>
      <c r="M46" s="53">
        <v>73523.89</v>
      </c>
      <c r="N46" s="53">
        <f t="shared" si="18"/>
        <v>1289815.98</v>
      </c>
      <c r="O46" s="18">
        <v>0</v>
      </c>
      <c r="P46" s="53">
        <v>19000</v>
      </c>
      <c r="Q46" s="53">
        <f t="shared" si="19"/>
        <v>1270815.98</v>
      </c>
      <c r="T46" s="267">
        <f t="shared" si="20"/>
        <v>0.19807330827067668</v>
      </c>
      <c r="U46" s="153">
        <f t="shared" si="21"/>
        <v>1107662.9356493796</v>
      </c>
      <c r="V46" s="153">
        <f t="shared" si="22"/>
        <v>2378478.9156493796</v>
      </c>
    </row>
    <row r="47" spans="1:22">
      <c r="A47" s="103" t="s">
        <v>136</v>
      </c>
      <c r="B47" s="48">
        <v>0.01</v>
      </c>
      <c r="C47" s="48">
        <f t="shared" si="23"/>
        <v>0</v>
      </c>
      <c r="D47" s="43">
        <v>15940</v>
      </c>
      <c r="E47" s="173"/>
      <c r="F47" s="43">
        <v>808610519</v>
      </c>
      <c r="G47" s="53">
        <v>2193.44</v>
      </c>
      <c r="H47" s="53">
        <v>85788.800000000003</v>
      </c>
      <c r="I47" s="53">
        <v>0</v>
      </c>
      <c r="J47" s="53">
        <v>7121.02</v>
      </c>
      <c r="K47" s="53">
        <v>1.06</v>
      </c>
      <c r="L47" s="53">
        <f t="shared" si="17"/>
        <v>80862.28</v>
      </c>
      <c r="M47" s="53">
        <v>4357.95</v>
      </c>
      <c r="N47" s="53">
        <f t="shared" si="18"/>
        <v>76504.33</v>
      </c>
      <c r="O47" s="18">
        <v>0</v>
      </c>
      <c r="P47" s="53">
        <v>1100</v>
      </c>
      <c r="Q47" s="53">
        <f t="shared" si="19"/>
        <v>75404.33</v>
      </c>
      <c r="T47" s="267">
        <f t="shared" si="20"/>
        <v>1.1748120300751879E-2</v>
      </c>
      <c r="U47" s="153">
        <f t="shared" si="21"/>
        <v>65697.68301597744</v>
      </c>
      <c r="V47" s="153">
        <f t="shared" si="22"/>
        <v>141102.01301597746</v>
      </c>
    </row>
    <row r="48" spans="1:22">
      <c r="A48" s="103" t="s">
        <v>88</v>
      </c>
      <c r="B48" s="48">
        <v>4.0500000000000001E-2</v>
      </c>
      <c r="C48" s="48">
        <f t="shared" si="23"/>
        <v>0</v>
      </c>
      <c r="D48" s="43">
        <v>15940</v>
      </c>
      <c r="E48" s="173"/>
      <c r="F48" s="43">
        <v>808610519</v>
      </c>
      <c r="G48" s="53">
        <v>8883.2099999999991</v>
      </c>
      <c r="H48" s="53">
        <v>347441.34</v>
      </c>
      <c r="I48" s="53">
        <v>0</v>
      </c>
      <c r="J48" s="53">
        <v>28842.5</v>
      </c>
      <c r="K48" s="53">
        <v>4.2699999999999996</v>
      </c>
      <c r="L48" s="53">
        <f t="shared" si="17"/>
        <v>327486.32000000007</v>
      </c>
      <c r="M48" s="53">
        <v>17697.79</v>
      </c>
      <c r="N48" s="53">
        <f t="shared" si="18"/>
        <v>309788.53000000009</v>
      </c>
      <c r="O48" s="18">
        <v>0</v>
      </c>
      <c r="P48" s="53">
        <v>4600</v>
      </c>
      <c r="Q48" s="53">
        <f t="shared" si="19"/>
        <v>305188.53000000009</v>
      </c>
      <c r="T48" s="267">
        <f t="shared" si="20"/>
        <v>4.7579887218045111E-2</v>
      </c>
      <c r="U48" s="153">
        <f t="shared" si="21"/>
        <v>266075.61621470866</v>
      </c>
      <c r="V48" s="153">
        <f t="shared" si="22"/>
        <v>571264.14621470869</v>
      </c>
    </row>
    <row r="49" spans="1:22">
      <c r="A49" s="103" t="s">
        <v>96</v>
      </c>
      <c r="B49" s="48">
        <v>1.4999999999999999E-2</v>
      </c>
      <c r="C49" s="48">
        <f t="shared" si="23"/>
        <v>0</v>
      </c>
      <c r="D49" s="43">
        <v>15940</v>
      </c>
      <c r="E49" s="173"/>
      <c r="F49" s="43">
        <v>808610519</v>
      </c>
      <c r="G49" s="53">
        <v>3290</v>
      </c>
      <c r="H49" s="53">
        <v>128681.38</v>
      </c>
      <c r="I49" s="53">
        <v>0</v>
      </c>
      <c r="J49" s="53">
        <v>10682.61</v>
      </c>
      <c r="K49" s="53">
        <v>1.57</v>
      </c>
      <c r="L49" s="53">
        <f t="shared" si="17"/>
        <v>121290.34000000001</v>
      </c>
      <c r="M49" s="53">
        <v>6539.96</v>
      </c>
      <c r="N49" s="53">
        <f t="shared" si="18"/>
        <v>114750.38</v>
      </c>
      <c r="O49" s="18">
        <v>0</v>
      </c>
      <c r="P49" s="53">
        <v>1700</v>
      </c>
      <c r="Q49" s="53">
        <f t="shared" si="19"/>
        <v>113050.38</v>
      </c>
      <c r="T49" s="267">
        <f t="shared" si="20"/>
        <v>1.7622180451127817E-2</v>
      </c>
      <c r="U49" s="153">
        <f t="shared" si="21"/>
        <v>98546.52452396616</v>
      </c>
      <c r="V49" s="153">
        <f t="shared" si="22"/>
        <v>211596.90452396616</v>
      </c>
    </row>
    <row r="50" spans="1:22">
      <c r="A50" s="103" t="s">
        <v>137</v>
      </c>
      <c r="B50" s="48">
        <v>0.02</v>
      </c>
      <c r="C50" s="48">
        <f t="shared" si="23"/>
        <v>0</v>
      </c>
      <c r="D50" s="43">
        <v>15940</v>
      </c>
      <c r="E50" s="173"/>
      <c r="F50" s="43">
        <v>808610519</v>
      </c>
      <c r="G50" s="53">
        <v>4386.88</v>
      </c>
      <c r="H50" s="53">
        <v>171582.04</v>
      </c>
      <c r="I50" s="53">
        <v>0</v>
      </c>
      <c r="J50" s="53">
        <v>14243.04</v>
      </c>
      <c r="K50" s="53">
        <v>2.1</v>
      </c>
      <c r="L50" s="53">
        <f t="shared" si="17"/>
        <v>161727.98000000001</v>
      </c>
      <c r="M50" s="53">
        <v>8720.3700000000008</v>
      </c>
      <c r="N50" s="53">
        <f t="shared" si="18"/>
        <v>153007.61000000002</v>
      </c>
      <c r="O50" s="18">
        <v>0</v>
      </c>
      <c r="P50" s="53">
        <v>4550</v>
      </c>
      <c r="Q50" s="53">
        <f t="shared" si="19"/>
        <v>148457.61000000002</v>
      </c>
      <c r="T50" s="267">
        <f t="shared" si="20"/>
        <v>2.3496240601503758E-2</v>
      </c>
      <c r="U50" s="153">
        <f t="shared" si="21"/>
        <v>131395.36603195488</v>
      </c>
      <c r="V50" s="153">
        <f t="shared" si="22"/>
        <v>279852.97603195487</v>
      </c>
    </row>
    <row r="51" spans="1:22">
      <c r="A51" s="103" t="s">
        <v>25</v>
      </c>
      <c r="B51" s="48">
        <v>0.01</v>
      </c>
      <c r="C51" s="48">
        <f t="shared" si="23"/>
        <v>0</v>
      </c>
      <c r="D51" s="43">
        <v>15940</v>
      </c>
      <c r="E51" s="173"/>
      <c r="F51" s="43">
        <v>808610519</v>
      </c>
      <c r="G51" s="53">
        <v>2193.44</v>
      </c>
      <c r="H51" s="53">
        <v>85788.800000000003</v>
      </c>
      <c r="I51" s="53">
        <v>0</v>
      </c>
      <c r="J51" s="53">
        <v>7121.02</v>
      </c>
      <c r="K51" s="53">
        <v>1.06</v>
      </c>
      <c r="L51" s="53">
        <f t="shared" si="17"/>
        <v>80862.28</v>
      </c>
      <c r="M51" s="53">
        <v>4357.95</v>
      </c>
      <c r="N51" s="53">
        <f t="shared" si="18"/>
        <v>76504.33</v>
      </c>
      <c r="O51" s="18">
        <v>0</v>
      </c>
      <c r="P51" s="53">
        <v>1100</v>
      </c>
      <c r="Q51" s="53">
        <f t="shared" si="19"/>
        <v>75404.33</v>
      </c>
      <c r="T51" s="267">
        <f t="shared" si="20"/>
        <v>1.1748120300751879E-2</v>
      </c>
      <c r="U51" s="153">
        <f t="shared" si="21"/>
        <v>65697.68301597744</v>
      </c>
      <c r="V51" s="153">
        <f t="shared" si="22"/>
        <v>141102.01301597746</v>
      </c>
    </row>
    <row r="52" spans="1:22">
      <c r="A52" s="103" t="s">
        <v>138</v>
      </c>
      <c r="B52" s="48">
        <v>6.4000000000000003E-3</v>
      </c>
      <c r="C52" s="48">
        <f t="shared" si="23"/>
        <v>0</v>
      </c>
      <c r="D52" s="43">
        <v>15940</v>
      </c>
      <c r="E52" s="173"/>
      <c r="F52" s="43">
        <v>808610519</v>
      </c>
      <c r="G52" s="53">
        <v>1403.69</v>
      </c>
      <c r="H52" s="53">
        <v>54903.35</v>
      </c>
      <c r="I52" s="53">
        <v>0</v>
      </c>
      <c r="J52" s="53">
        <v>4557.8999999999996</v>
      </c>
      <c r="K52" s="53">
        <v>0.67</v>
      </c>
      <c r="L52" s="53">
        <f t="shared" si="17"/>
        <v>51749.81</v>
      </c>
      <c r="M52" s="53">
        <v>2791.05</v>
      </c>
      <c r="N52" s="53">
        <f t="shared" si="18"/>
        <v>48958.759999999995</v>
      </c>
      <c r="O52" s="18">
        <v>0</v>
      </c>
      <c r="P52" s="53">
        <v>750</v>
      </c>
      <c r="Q52" s="53">
        <f t="shared" si="19"/>
        <v>48208.759999999995</v>
      </c>
      <c r="T52" s="267">
        <f t="shared" si="20"/>
        <v>7.5187969924812026E-3</v>
      </c>
      <c r="U52" s="153">
        <f t="shared" si="21"/>
        <v>42046.517130225562</v>
      </c>
      <c r="V52" s="153">
        <f t="shared" si="22"/>
        <v>90255.277130225557</v>
      </c>
    </row>
    <row r="53" spans="1:22" s="50" customFormat="1">
      <c r="A53" s="103" t="s">
        <v>139</v>
      </c>
      <c r="B53" s="48">
        <v>0.04</v>
      </c>
      <c r="C53" s="48">
        <f t="shared" si="23"/>
        <v>0</v>
      </c>
      <c r="D53" s="43">
        <v>15940</v>
      </c>
      <c r="E53" s="173"/>
      <c r="F53" s="43">
        <v>808610519</v>
      </c>
      <c r="G53" s="53">
        <v>8773.5</v>
      </c>
      <c r="H53" s="53">
        <v>343156.55</v>
      </c>
      <c r="I53" s="53">
        <v>0</v>
      </c>
      <c r="J53" s="53">
        <v>28487.200000000001</v>
      </c>
      <c r="K53" s="53">
        <v>4.2</v>
      </c>
      <c r="L53" s="53">
        <f t="shared" si="17"/>
        <v>323447.05</v>
      </c>
      <c r="M53" s="53">
        <v>17448.509999999998</v>
      </c>
      <c r="N53" s="53">
        <f t="shared" si="18"/>
        <v>305998.53999999998</v>
      </c>
      <c r="O53" s="18">
        <v>0</v>
      </c>
      <c r="P53" s="53">
        <v>4500</v>
      </c>
      <c r="Q53" s="53">
        <f t="shared" si="19"/>
        <v>301498.53999999998</v>
      </c>
      <c r="T53" s="267">
        <f t="shared" si="20"/>
        <v>4.6992481203007516E-2</v>
      </c>
      <c r="U53" s="153">
        <f t="shared" si="21"/>
        <v>262790.73206390976</v>
      </c>
      <c r="V53" s="153">
        <f t="shared" si="22"/>
        <v>564289.2720639098</v>
      </c>
    </row>
    <row r="54" spans="1:22" s="50" customFormat="1">
      <c r="A54" s="49"/>
      <c r="B54" s="51"/>
      <c r="C54" s="51"/>
      <c r="D54" s="52"/>
      <c r="E54" s="65">
        <v>272305317</v>
      </c>
      <c r="F54" s="52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T54" s="268"/>
      <c r="U54" s="268"/>
      <c r="V54" s="268"/>
    </row>
    <row r="55" spans="1:22">
      <c r="A55" s="71" t="s">
        <v>26</v>
      </c>
      <c r="B55" s="48">
        <f>SUM(B40:B53)</f>
        <v>0.85120000000000007</v>
      </c>
      <c r="C55" s="48">
        <f>-SUM(C40:C53)</f>
        <v>0</v>
      </c>
      <c r="D55" s="72">
        <f>D40</f>
        <v>15940</v>
      </c>
      <c r="E55" s="208">
        <f>G55/B55*100</f>
        <v>21933746.47556391</v>
      </c>
      <c r="F55" s="72">
        <f>F40</f>
        <v>808610519</v>
      </c>
      <c r="G55" s="73">
        <f t="shared" ref="G55:P55" si="24">SUM(G40:G53)</f>
        <v>186700.05000000002</v>
      </c>
      <c r="H55" s="73">
        <f t="shared" si="24"/>
        <v>7302382.709999999</v>
      </c>
      <c r="I55" s="73">
        <f t="shared" si="24"/>
        <v>0</v>
      </c>
      <c r="J55" s="73">
        <f t="shared" si="24"/>
        <v>606156.21000000008</v>
      </c>
      <c r="K55" s="73">
        <f t="shared" si="24"/>
        <v>89.47</v>
      </c>
      <c r="L55" s="73">
        <f t="shared" si="24"/>
        <v>6883016.0200000014</v>
      </c>
      <c r="M55" s="73">
        <f t="shared" si="24"/>
        <v>624937.11</v>
      </c>
      <c r="N55" s="73">
        <f t="shared" si="24"/>
        <v>6258078.9100000001</v>
      </c>
      <c r="O55" s="73">
        <f t="shared" si="24"/>
        <v>0</v>
      </c>
      <c r="P55" s="73">
        <f t="shared" si="24"/>
        <v>98350</v>
      </c>
      <c r="Q55" s="73">
        <f>N55-O55-P55</f>
        <v>6159728.9100000001</v>
      </c>
      <c r="T55" s="267">
        <f>SUM(T40:T53)</f>
        <v>0.99999999999999989</v>
      </c>
      <c r="U55" s="153">
        <f>SUM(U40:U53)</f>
        <v>5592186.7783199996</v>
      </c>
      <c r="V55" s="153">
        <f>SUM(V40:V53)</f>
        <v>11751915.688320002</v>
      </c>
    </row>
    <row r="56" spans="1:22" ht="21" customHeight="1">
      <c r="A56" s="47" t="s">
        <v>16</v>
      </c>
      <c r="B56" s="48">
        <f>B55</f>
        <v>0.85120000000000007</v>
      </c>
      <c r="C56" s="48">
        <f>C55</f>
        <v>0</v>
      </c>
      <c r="D56" s="43"/>
      <c r="E56" s="173"/>
      <c r="F56" s="65">
        <f>IF(E54&gt;E55,E54-E55,0)</f>
        <v>250371570.52443609</v>
      </c>
      <c r="G56" s="53">
        <f>F56*(B56-C56)/100</f>
        <v>2131162.8083040002</v>
      </c>
      <c r="H56" s="53"/>
      <c r="I56" s="53">
        <f>F56*C56/100</f>
        <v>0</v>
      </c>
      <c r="J56" s="53"/>
      <c r="K56" s="53"/>
      <c r="L56" s="53">
        <f>G56+H56+I56-J56+K56</f>
        <v>2131162.8083040002</v>
      </c>
      <c r="M56" s="53"/>
      <c r="N56" s="53">
        <f>L56-M56</f>
        <v>2131162.8083040002</v>
      </c>
      <c r="O56" s="53">
        <v>0</v>
      </c>
      <c r="P56" s="53">
        <v>0</v>
      </c>
      <c r="Q56" s="53">
        <f>N56-O56-P56</f>
        <v>2131162.8083040002</v>
      </c>
      <c r="T56" s="266"/>
      <c r="U56" s="266"/>
      <c r="V56" s="266"/>
    </row>
    <row r="57" spans="1:22" ht="12.75" customHeight="1">
      <c r="A57" s="47" t="s">
        <v>17</v>
      </c>
      <c r="B57" s="48">
        <f>B55</f>
        <v>0.85120000000000007</v>
      </c>
      <c r="C57" s="48">
        <f>C55</f>
        <v>0</v>
      </c>
      <c r="D57" s="43"/>
      <c r="E57" s="173"/>
      <c r="F57" s="66">
        <v>212308918</v>
      </c>
      <c r="G57" s="53"/>
      <c r="H57" s="53">
        <f>F57*(B57-C57)/100</f>
        <v>1807173.5100160004</v>
      </c>
      <c r="I57" s="53">
        <f>F57*C57/100</f>
        <v>0</v>
      </c>
      <c r="J57" s="53">
        <v>0</v>
      </c>
      <c r="K57" s="53">
        <v>0</v>
      </c>
      <c r="L57" s="53">
        <f>G57+H57+I57-J57+K57</f>
        <v>1807173.5100160004</v>
      </c>
      <c r="M57" s="53">
        <v>0</v>
      </c>
      <c r="N57" s="53">
        <f>L57-M57</f>
        <v>1807173.5100160004</v>
      </c>
      <c r="O57" s="53">
        <v>0</v>
      </c>
      <c r="P57" s="53">
        <v>0</v>
      </c>
      <c r="Q57" s="53">
        <f>N57-O57-P57</f>
        <v>1807173.5100160004</v>
      </c>
      <c r="T57" s="266" t="s">
        <v>380</v>
      </c>
      <c r="U57" s="266"/>
      <c r="V57" s="266"/>
    </row>
    <row r="58" spans="1:22">
      <c r="A58" s="47" t="s">
        <v>18</v>
      </c>
      <c r="B58" s="48"/>
      <c r="C58" s="48"/>
      <c r="D58" s="43"/>
      <c r="E58" s="173"/>
      <c r="F58" s="4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T58" s="266" t="s">
        <v>381</v>
      </c>
      <c r="U58" s="266"/>
      <c r="V58" s="266"/>
    </row>
    <row r="59" spans="1:22">
      <c r="A59" s="67" t="s">
        <v>19</v>
      </c>
      <c r="B59" s="48">
        <f>B55</f>
        <v>0.85120000000000007</v>
      </c>
      <c r="C59" s="48">
        <f>C55</f>
        <v>0</v>
      </c>
      <c r="D59" s="43"/>
      <c r="E59" s="173"/>
      <c r="F59" s="43">
        <v>184053121.80000001</v>
      </c>
      <c r="G59" s="53">
        <v>174966.18</v>
      </c>
      <c r="H59" s="53">
        <v>1455109.57</v>
      </c>
      <c r="I59" s="53">
        <v>0</v>
      </c>
      <c r="J59" s="53">
        <v>63415.58</v>
      </c>
      <c r="K59" s="53">
        <v>0</v>
      </c>
      <c r="L59" s="53">
        <f>G59+H59+I59-J59+K59</f>
        <v>1566660.17</v>
      </c>
      <c r="M59" s="53">
        <v>61730.36</v>
      </c>
      <c r="N59" s="53">
        <f>L59-M59</f>
        <v>1504929.8099999998</v>
      </c>
      <c r="O59" s="53">
        <v>0</v>
      </c>
      <c r="P59" s="53">
        <v>0</v>
      </c>
      <c r="Q59" s="53">
        <f>N59-O59-P59</f>
        <v>1504929.8099999998</v>
      </c>
      <c r="T59" s="266"/>
      <c r="U59" s="266"/>
      <c r="V59" s="266"/>
    </row>
    <row r="60" spans="1:22">
      <c r="A60" s="67" t="s">
        <v>20</v>
      </c>
      <c r="B60" s="48">
        <f>B55</f>
        <v>0.85120000000000007</v>
      </c>
      <c r="C60" s="48">
        <f>C55</f>
        <v>0</v>
      </c>
      <c r="D60" s="43"/>
      <c r="E60" s="173"/>
      <c r="F60" s="43">
        <v>17496613.870000001</v>
      </c>
      <c r="G60" s="53">
        <v>144246.20000000001</v>
      </c>
      <c r="H60" s="53">
        <v>4684.67</v>
      </c>
      <c r="I60" s="53">
        <v>0</v>
      </c>
      <c r="J60" s="53">
        <v>0</v>
      </c>
      <c r="K60" s="53">
        <v>0</v>
      </c>
      <c r="L60" s="53">
        <f>G60+H60+I60-J60+K60</f>
        <v>148930.87000000002</v>
      </c>
      <c r="M60" s="53">
        <v>10.220000000000001</v>
      </c>
      <c r="N60" s="53">
        <f>L60-M60</f>
        <v>148920.65000000002</v>
      </c>
      <c r="O60" s="53">
        <v>0</v>
      </c>
      <c r="P60" s="53"/>
      <c r="Q60" s="53">
        <f>N60-O60-P60</f>
        <v>148920.65000000002</v>
      </c>
      <c r="T60" s="153">
        <f>SUM(Q56:Q57,Q59:Q60)</f>
        <v>5592186.7783200005</v>
      </c>
      <c r="U60" s="266"/>
      <c r="V60" s="266"/>
    </row>
    <row r="61" spans="1:22">
      <c r="A61" s="47"/>
      <c r="B61" s="48"/>
      <c r="C61" s="48"/>
      <c r="D61" s="43"/>
      <c r="E61" s="173"/>
      <c r="F61" s="4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T61" s="266"/>
      <c r="U61" s="266"/>
      <c r="V61" s="266"/>
    </row>
    <row r="62" spans="1:22" s="50" customFormat="1" ht="13.5" thickBot="1">
      <c r="A62" s="60" t="str">
        <f>"TOTAL "&amp;A37</f>
        <v>TOTAL GENERAL COUNTY</v>
      </c>
      <c r="B62" s="68">
        <f>B55</f>
        <v>0.85120000000000007</v>
      </c>
      <c r="C62" s="68">
        <f>C55</f>
        <v>0</v>
      </c>
      <c r="D62" s="69">
        <f t="shared" ref="D62:P62" si="25">SUM(D55:D57,D59:D60)</f>
        <v>15940</v>
      </c>
      <c r="E62" s="204"/>
      <c r="F62" s="69">
        <f t="shared" si="25"/>
        <v>1472840743.1944358</v>
      </c>
      <c r="G62" s="99">
        <f t="shared" si="25"/>
        <v>2637075.2383040003</v>
      </c>
      <c r="H62" s="99">
        <f t="shared" si="25"/>
        <v>10569350.460015999</v>
      </c>
      <c r="I62" s="99">
        <f t="shared" si="25"/>
        <v>0</v>
      </c>
      <c r="J62" s="99">
        <f t="shared" si="25"/>
        <v>669571.79</v>
      </c>
      <c r="K62" s="99">
        <f t="shared" si="25"/>
        <v>89.47</v>
      </c>
      <c r="L62" s="99">
        <f t="shared" si="25"/>
        <v>12536943.378320001</v>
      </c>
      <c r="M62" s="99">
        <f t="shared" si="25"/>
        <v>686677.69</v>
      </c>
      <c r="N62" s="99">
        <f t="shared" si="25"/>
        <v>11850265.688320002</v>
      </c>
      <c r="O62" s="99">
        <f t="shared" si="25"/>
        <v>0</v>
      </c>
      <c r="P62" s="99">
        <f t="shared" si="25"/>
        <v>98350</v>
      </c>
      <c r="Q62" s="99">
        <f>SUM(Q55:Q57,Q59:Q60)</f>
        <v>11751915.688320002</v>
      </c>
    </row>
    <row r="63" spans="1:22" s="168" customFormat="1">
      <c r="A63" s="165" t="s">
        <v>28</v>
      </c>
      <c r="B63" s="166"/>
      <c r="C63" s="166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</row>
    <row r="64" spans="1:22" s="168" customFormat="1">
      <c r="A64" s="200" t="s">
        <v>29</v>
      </c>
      <c r="B64" s="166"/>
      <c r="C64" s="166"/>
      <c r="D64" s="167"/>
      <c r="E64" s="167"/>
      <c r="F64" s="167">
        <v>22058814</v>
      </c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</row>
    <row r="65" spans="1:19" s="168" customFormat="1">
      <c r="A65" s="200" t="s">
        <v>15</v>
      </c>
      <c r="B65" s="166"/>
      <c r="C65" s="166"/>
      <c r="D65" s="167"/>
      <c r="E65" s="167"/>
      <c r="F65" s="169">
        <v>786674733</v>
      </c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</row>
    <row r="66" spans="1:19" s="168" customFormat="1">
      <c r="A66" s="200"/>
      <c r="B66" s="166"/>
      <c r="C66" s="166"/>
      <c r="D66" s="167"/>
      <c r="E66" s="167"/>
      <c r="F66" s="167">
        <f>F64+F65</f>
        <v>808733547</v>
      </c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</row>
    <row r="67" spans="1:19" s="168" customFormat="1">
      <c r="A67" s="200" t="s">
        <v>30</v>
      </c>
      <c r="B67" s="166"/>
      <c r="C67" s="166"/>
      <c r="D67" s="167"/>
      <c r="E67" s="167"/>
      <c r="F67" s="74">
        <f>F55-F66</f>
        <v>-123028</v>
      </c>
      <c r="G67" s="170">
        <f>F67/F66</f>
        <v>-1.5212426942887779E-4</v>
      </c>
      <c r="H67" s="167"/>
      <c r="I67" s="167"/>
      <c r="J67" s="167"/>
      <c r="K67" s="167"/>
      <c r="L67" s="167"/>
      <c r="M67" s="167"/>
      <c r="N67" s="167"/>
      <c r="O67" s="167"/>
      <c r="P67" s="167"/>
      <c r="Q67" s="167"/>
    </row>
    <row r="68" spans="1:19" s="174" customFormat="1">
      <c r="A68" s="171"/>
      <c r="B68" s="172"/>
      <c r="C68" s="172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1:19" s="174" customFormat="1">
      <c r="A69" s="75" t="s">
        <v>355</v>
      </c>
      <c r="B69" s="172"/>
      <c r="C69" s="172"/>
      <c r="D69" s="175"/>
      <c r="E69" s="175"/>
      <c r="F69" s="175">
        <v>1472838703</v>
      </c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1:19" s="174" customFormat="1">
      <c r="A70" s="76" t="s">
        <v>30</v>
      </c>
      <c r="B70" s="172"/>
      <c r="C70" s="172"/>
      <c r="D70" s="77"/>
      <c r="E70" s="77"/>
      <c r="F70" s="77">
        <f>F62-F69</f>
        <v>2040.1944358348846</v>
      </c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1:19">
      <c r="A71" s="47"/>
      <c r="B71" s="48"/>
      <c r="C71" s="48"/>
      <c r="D71" s="43"/>
      <c r="E71" s="173"/>
      <c r="F71" s="43"/>
      <c r="G71" s="53"/>
      <c r="H71" s="53"/>
      <c r="I71" s="53"/>
      <c r="J71" s="53"/>
      <c r="K71" s="53"/>
      <c r="L71" s="100"/>
      <c r="M71" s="100"/>
      <c r="N71" s="53"/>
      <c r="O71" s="53"/>
      <c r="P71" s="53"/>
      <c r="Q71" s="53"/>
    </row>
    <row r="72" spans="1:19">
      <c r="A72" s="54" t="s">
        <v>13</v>
      </c>
      <c r="B72" s="51"/>
      <c r="C72" s="51"/>
      <c r="D72" s="52"/>
      <c r="E72" s="203"/>
      <c r="F72" s="52"/>
      <c r="G72" s="64"/>
      <c r="H72" s="53"/>
      <c r="I72" s="53"/>
      <c r="J72" s="53"/>
      <c r="K72" s="53"/>
      <c r="L72" s="100"/>
      <c r="M72" s="53"/>
      <c r="N72" s="53"/>
      <c r="O72" s="53"/>
      <c r="P72" s="53"/>
      <c r="Q72" s="53"/>
    </row>
    <row r="73" spans="1:19">
      <c r="A73" s="47"/>
      <c r="B73" s="48"/>
      <c r="C73" s="48"/>
      <c r="D73" s="43"/>
      <c r="E73" s="65">
        <v>272305317</v>
      </c>
      <c r="F73" s="4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19">
      <c r="A74" s="49" t="s">
        <v>15</v>
      </c>
      <c r="B74" s="48">
        <v>0.75</v>
      </c>
      <c r="C74" s="48">
        <v>0</v>
      </c>
      <c r="D74" s="43">
        <v>15940</v>
      </c>
      <c r="E74" s="208">
        <f>G74/B74*100</f>
        <v>21933757.333333332</v>
      </c>
      <c r="F74" s="43">
        <v>808610519</v>
      </c>
      <c r="G74" s="53">
        <v>164503.18</v>
      </c>
      <c r="H74" s="53">
        <v>6434192.54</v>
      </c>
      <c r="I74" s="53">
        <v>0</v>
      </c>
      <c r="J74" s="53">
        <v>534123.54</v>
      </c>
      <c r="K74" s="53">
        <v>78.78</v>
      </c>
      <c r="L74" s="53">
        <f>G74+H74+I74-J74+K74</f>
        <v>6064650.96</v>
      </c>
      <c r="M74" s="53">
        <v>327064.86</v>
      </c>
      <c r="N74" s="53">
        <f>L74-M74</f>
        <v>5737586.0999999996</v>
      </c>
      <c r="O74" s="53">
        <v>0</v>
      </c>
      <c r="P74" s="53">
        <v>85000</v>
      </c>
      <c r="Q74" s="53">
        <f>N74-O74-P74</f>
        <v>5652586.0999999996</v>
      </c>
    </row>
    <row r="75" spans="1:19">
      <c r="A75" s="47" t="s">
        <v>16</v>
      </c>
      <c r="B75" s="48">
        <f>B$74</f>
        <v>0.75</v>
      </c>
      <c r="C75" s="48">
        <f>C$74</f>
        <v>0</v>
      </c>
      <c r="D75" s="43"/>
      <c r="E75" s="173"/>
      <c r="F75" s="65">
        <f>IF(E73&gt;E74,E73-E74,0)</f>
        <v>250371559.66666666</v>
      </c>
      <c r="G75" s="53">
        <f>F75*(B75-C75)/100</f>
        <v>1877786.6975</v>
      </c>
      <c r="H75" s="53"/>
      <c r="I75" s="53">
        <f>F75*C75/100</f>
        <v>0</v>
      </c>
      <c r="J75" s="53"/>
      <c r="K75" s="53"/>
      <c r="L75" s="53">
        <f>G75+H75+I75-J75+K75</f>
        <v>1877786.6975</v>
      </c>
      <c r="M75" s="53"/>
      <c r="N75" s="53">
        <f>L75-M75</f>
        <v>1877786.6975</v>
      </c>
      <c r="O75" s="53"/>
      <c r="P75" s="53"/>
      <c r="Q75" s="53">
        <f>N75-O75-P75</f>
        <v>1877786.6975</v>
      </c>
    </row>
    <row r="76" spans="1:19">
      <c r="A76" s="47" t="s">
        <v>17</v>
      </c>
      <c r="B76" s="48">
        <f t="shared" ref="B76:C79" si="26">B$74</f>
        <v>0.75</v>
      </c>
      <c r="C76" s="48">
        <f t="shared" si="26"/>
        <v>0</v>
      </c>
      <c r="D76" s="43"/>
      <c r="E76" s="173"/>
      <c r="F76" s="66">
        <v>212308918</v>
      </c>
      <c r="G76" s="53"/>
      <c r="H76" s="53">
        <f>F76*(B76-C76)/100</f>
        <v>1592316.885</v>
      </c>
      <c r="I76" s="53">
        <f>F76*C76/100</f>
        <v>0</v>
      </c>
      <c r="J76" s="53">
        <v>0</v>
      </c>
      <c r="K76" s="53">
        <v>0</v>
      </c>
      <c r="L76" s="53">
        <f>G76+H76+I76-J76+K76</f>
        <v>1592316.885</v>
      </c>
      <c r="M76" s="53">
        <v>0</v>
      </c>
      <c r="N76" s="53">
        <f>L76-M76</f>
        <v>1592316.885</v>
      </c>
      <c r="O76" s="53">
        <v>0</v>
      </c>
      <c r="P76" s="53">
        <v>0</v>
      </c>
      <c r="Q76" s="53">
        <f>N76-O76-P76</f>
        <v>1592316.885</v>
      </c>
    </row>
    <row r="77" spans="1:19">
      <c r="A77" s="47" t="s">
        <v>18</v>
      </c>
      <c r="B77" s="48"/>
      <c r="C77" s="48"/>
      <c r="D77" s="43"/>
      <c r="E77" s="173"/>
      <c r="F77" s="4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1:19">
      <c r="A78" s="67" t="s">
        <v>19</v>
      </c>
      <c r="B78" s="48">
        <f t="shared" si="26"/>
        <v>0.75</v>
      </c>
      <c r="C78" s="48">
        <v>0</v>
      </c>
      <c r="D78" s="43"/>
      <c r="E78" s="173"/>
      <c r="F78" s="43">
        <v>184053121.80000001</v>
      </c>
      <c r="G78" s="53">
        <f>181913.85*S81</f>
        <v>154164.27966101695</v>
      </c>
      <c r="H78" s="53">
        <f>1512890.05*S81</f>
        <v>1282110.2118644067</v>
      </c>
      <c r="I78" s="53">
        <f>F78*C78/100</f>
        <v>0</v>
      </c>
      <c r="J78" s="53">
        <f>65933.73*S81</f>
        <v>55876.042372881348</v>
      </c>
      <c r="K78" s="53">
        <v>0</v>
      </c>
      <c r="L78" s="53">
        <f>G78+H78+I78-J78+K78</f>
        <v>1380398.4491525423</v>
      </c>
      <c r="M78" s="53">
        <f>22818.99*S81</f>
        <v>19338.127118644068</v>
      </c>
      <c r="N78" s="53">
        <f>L78-M78</f>
        <v>1361060.3220338982</v>
      </c>
      <c r="O78" s="53">
        <v>0</v>
      </c>
      <c r="P78" s="53">
        <v>0</v>
      </c>
      <c r="Q78" s="53">
        <f>N78-O78-P78</f>
        <v>1361060.3220338982</v>
      </c>
      <c r="S78" s="381">
        <f>Q79-G79</f>
        <v>4118.6949152542511</v>
      </c>
    </row>
    <row r="79" spans="1:19">
      <c r="A79" s="67" t="s">
        <v>20</v>
      </c>
      <c r="B79" s="48">
        <f t="shared" si="26"/>
        <v>0.75</v>
      </c>
      <c r="C79" s="48">
        <f t="shared" si="26"/>
        <v>0</v>
      </c>
      <c r="D79" s="43"/>
      <c r="E79" s="173"/>
      <c r="F79" s="43">
        <v>17496613.870000001</v>
      </c>
      <c r="G79" s="53">
        <f>149974.04*S81</f>
        <v>127096.64406779662</v>
      </c>
      <c r="H79" s="53">
        <f>4870.73*S81</f>
        <v>4127.7372881355923</v>
      </c>
      <c r="I79" s="53">
        <v>0</v>
      </c>
      <c r="J79" s="53">
        <v>0</v>
      </c>
      <c r="K79" s="53">
        <v>0</v>
      </c>
      <c r="L79" s="53">
        <f>G79+H79+I79-J79+K79</f>
        <v>131224.38135593222</v>
      </c>
      <c r="M79" s="53">
        <f>10.67*S81</f>
        <v>9.0423728813559325</v>
      </c>
      <c r="N79" s="53">
        <f>L79-M79</f>
        <v>131215.33898305087</v>
      </c>
      <c r="O79" s="53">
        <v>0</v>
      </c>
      <c r="P79" s="53"/>
      <c r="Q79" s="53">
        <f>N79-O79-P79</f>
        <v>131215.33898305087</v>
      </c>
      <c r="S79" s="381">
        <f>G79</f>
        <v>127096.64406779662</v>
      </c>
    </row>
    <row r="80" spans="1:19">
      <c r="A80" s="47"/>
      <c r="B80" s="48"/>
      <c r="C80" s="48"/>
      <c r="D80" s="43"/>
      <c r="E80" s="173"/>
      <c r="F80" s="4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21" s="50" customFormat="1">
      <c r="A81" s="57" t="s">
        <v>31</v>
      </c>
      <c r="B81" s="51">
        <f>B74</f>
        <v>0.75</v>
      </c>
      <c r="C81" s="51">
        <f>C74</f>
        <v>0</v>
      </c>
      <c r="D81" s="78">
        <f t="shared" ref="D81:Q81" si="27">SUM(D74:D76,D78:D79)</f>
        <v>15940</v>
      </c>
      <c r="E81" s="206"/>
      <c r="F81" s="78">
        <f t="shared" si="27"/>
        <v>1472840732.3366663</v>
      </c>
      <c r="G81" s="79">
        <f t="shared" si="27"/>
        <v>2323550.8012288134</v>
      </c>
      <c r="H81" s="79">
        <f t="shared" si="27"/>
        <v>9312747.374152543</v>
      </c>
      <c r="I81" s="79">
        <f t="shared" si="27"/>
        <v>0</v>
      </c>
      <c r="J81" s="79">
        <f t="shared" si="27"/>
        <v>589999.58237288136</v>
      </c>
      <c r="K81" s="79">
        <f t="shared" si="27"/>
        <v>78.78</v>
      </c>
      <c r="L81" s="79">
        <f t="shared" si="27"/>
        <v>11046377.373008475</v>
      </c>
      <c r="M81" s="79">
        <f t="shared" si="27"/>
        <v>346412.02949152543</v>
      </c>
      <c r="N81" s="79">
        <f t="shared" si="27"/>
        <v>10699965.34351695</v>
      </c>
      <c r="O81" s="79">
        <f t="shared" si="27"/>
        <v>0</v>
      </c>
      <c r="P81" s="79">
        <f t="shared" si="27"/>
        <v>85000</v>
      </c>
      <c r="Q81" s="79">
        <f t="shared" si="27"/>
        <v>10614965.34351695</v>
      </c>
      <c r="S81" s="183">
        <f>B81/B95</f>
        <v>0.84745762711864403</v>
      </c>
    </row>
    <row r="82" spans="1:21">
      <c r="A82" s="47"/>
      <c r="B82" s="48"/>
      <c r="C82" s="48"/>
      <c r="D82" s="43"/>
      <c r="E82" s="173"/>
      <c r="F82" s="43"/>
      <c r="G82" s="53"/>
      <c r="H82" s="53"/>
      <c r="I82" s="53"/>
      <c r="J82" s="53"/>
      <c r="K82" s="53"/>
      <c r="L82" s="505" t="s">
        <v>388</v>
      </c>
      <c r="M82" s="506">
        <f>M81/L81</f>
        <v>3.1359785909358291E-2</v>
      </c>
      <c r="N82" s="53"/>
      <c r="O82" s="53"/>
      <c r="P82" s="53"/>
      <c r="Q82" s="53"/>
    </row>
    <row r="83" spans="1:21">
      <c r="A83" s="47"/>
      <c r="B83" s="48"/>
      <c r="C83" s="48"/>
      <c r="D83" s="43"/>
      <c r="E83" s="173"/>
      <c r="F83" s="43"/>
      <c r="G83" s="81">
        <f>G78+G90</f>
        <v>181913.85</v>
      </c>
      <c r="H83" s="81">
        <f t="shared" ref="H83:Q84" si="28">H78+H90</f>
        <v>1512890.05</v>
      </c>
      <c r="I83" s="81">
        <f t="shared" si="28"/>
        <v>0</v>
      </c>
      <c r="J83" s="81">
        <f t="shared" si="28"/>
        <v>65933.73</v>
      </c>
      <c r="K83" s="81">
        <f t="shared" si="28"/>
        <v>0</v>
      </c>
      <c r="L83" s="81">
        <f t="shared" si="28"/>
        <v>1628870.17</v>
      </c>
      <c r="M83" s="81">
        <f t="shared" si="28"/>
        <v>22818.99</v>
      </c>
      <c r="N83" s="81">
        <f t="shared" si="28"/>
        <v>1606051.18</v>
      </c>
      <c r="O83" s="81">
        <f t="shared" si="28"/>
        <v>0</v>
      </c>
      <c r="P83" s="81">
        <f t="shared" si="28"/>
        <v>0</v>
      </c>
      <c r="Q83" s="81">
        <f t="shared" si="28"/>
        <v>1606051.18</v>
      </c>
    </row>
    <row r="84" spans="1:21">
      <c r="A84" s="54" t="s">
        <v>32</v>
      </c>
      <c r="B84" s="48"/>
      <c r="C84" s="48"/>
      <c r="D84" s="43"/>
      <c r="E84" s="173"/>
      <c r="F84" s="64"/>
      <c r="G84" s="81">
        <f>G79+G91</f>
        <v>149974.04</v>
      </c>
      <c r="H84" s="81">
        <f t="shared" si="28"/>
        <v>4870.7299999999987</v>
      </c>
      <c r="I84" s="81">
        <f t="shared" si="28"/>
        <v>0</v>
      </c>
      <c r="J84" s="81">
        <f t="shared" si="28"/>
        <v>0</v>
      </c>
      <c r="K84" s="81">
        <f t="shared" si="28"/>
        <v>0</v>
      </c>
      <c r="L84" s="81">
        <f t="shared" si="28"/>
        <v>154844.77000000002</v>
      </c>
      <c r="M84" s="81">
        <f t="shared" si="28"/>
        <v>10.67</v>
      </c>
      <c r="N84" s="81">
        <f t="shared" si="28"/>
        <v>154834.10000000003</v>
      </c>
      <c r="O84" s="81">
        <f t="shared" si="28"/>
        <v>0</v>
      </c>
      <c r="P84" s="81">
        <f t="shared" si="28"/>
        <v>0</v>
      </c>
      <c r="Q84" s="81">
        <f t="shared" si="28"/>
        <v>154834.10000000003</v>
      </c>
      <c r="U84" s="53"/>
    </row>
    <row r="85" spans="1:21">
      <c r="A85" s="47"/>
      <c r="B85" s="48"/>
      <c r="C85" s="48"/>
      <c r="D85" s="43"/>
      <c r="E85" s="65">
        <v>272305317</v>
      </c>
      <c r="F85" s="43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21">
      <c r="A86" s="49" t="s">
        <v>15</v>
      </c>
      <c r="B86" s="48">
        <v>0.13500000000000001</v>
      </c>
      <c r="C86" s="48">
        <v>0</v>
      </c>
      <c r="D86" s="43">
        <v>15940</v>
      </c>
      <c r="E86" s="173">
        <f>G86/B86*100</f>
        <v>21933866.666666664</v>
      </c>
      <c r="F86" s="43">
        <v>808610519</v>
      </c>
      <c r="G86" s="53">
        <v>29610.720000000001</v>
      </c>
      <c r="H86" s="53">
        <v>1158151.21</v>
      </c>
      <c r="I86" s="53">
        <v>0</v>
      </c>
      <c r="J86" s="53">
        <v>96142.14</v>
      </c>
      <c r="K86" s="53">
        <v>14.16</v>
      </c>
      <c r="L86" s="53">
        <f>G86+H86+I86-J86+K86</f>
        <v>1091633.95</v>
      </c>
      <c r="M86" s="53">
        <v>58870.86</v>
      </c>
      <c r="N86" s="53">
        <f>L86-M86</f>
        <v>1032763.09</v>
      </c>
      <c r="O86" s="53">
        <v>0</v>
      </c>
      <c r="P86" s="53">
        <v>15200</v>
      </c>
      <c r="Q86" s="53">
        <f>N86-O86-P86</f>
        <v>1017563.09</v>
      </c>
    </row>
    <row r="87" spans="1:21">
      <c r="A87" s="47" t="s">
        <v>16</v>
      </c>
      <c r="B87" s="48">
        <f>B$86</f>
        <v>0.13500000000000001</v>
      </c>
      <c r="C87" s="48">
        <f>C$86</f>
        <v>0</v>
      </c>
      <c r="D87" s="43"/>
      <c r="E87" s="173"/>
      <c r="F87" s="65">
        <f>IF(E85&gt;E86,E85-E86,0)</f>
        <v>250371450.33333334</v>
      </c>
      <c r="G87" s="53">
        <f>F87*(B87-C87)/100</f>
        <v>338001.45795000001</v>
      </c>
      <c r="H87" s="53"/>
      <c r="I87" s="53">
        <f>F87*C87/100</f>
        <v>0</v>
      </c>
      <c r="J87" s="53"/>
      <c r="K87" s="53"/>
      <c r="L87" s="53">
        <f>G87+H87+I87-J87+K87</f>
        <v>338001.45795000001</v>
      </c>
      <c r="M87" s="53"/>
      <c r="N87" s="53">
        <f>L87-M87</f>
        <v>338001.45795000001</v>
      </c>
      <c r="O87" s="53"/>
      <c r="P87" s="53"/>
      <c r="Q87" s="53">
        <f>N87-O87-P87</f>
        <v>338001.45795000001</v>
      </c>
    </row>
    <row r="88" spans="1:21">
      <c r="A88" s="47" t="s">
        <v>17</v>
      </c>
      <c r="B88" s="48">
        <f t="shared" ref="B88:C91" si="29">B$86</f>
        <v>0.13500000000000001</v>
      </c>
      <c r="C88" s="48">
        <f t="shared" si="29"/>
        <v>0</v>
      </c>
      <c r="D88" s="43"/>
      <c r="E88" s="173"/>
      <c r="F88" s="66">
        <v>212308918</v>
      </c>
      <c r="G88" s="53"/>
      <c r="H88" s="53">
        <f>F88*(B88-C88)/100</f>
        <v>286617.03930000006</v>
      </c>
      <c r="I88" s="53">
        <f>F88*C88/100</f>
        <v>0</v>
      </c>
      <c r="J88" s="53">
        <v>0</v>
      </c>
      <c r="K88" s="53">
        <v>0</v>
      </c>
      <c r="L88" s="53">
        <f>G88+H88+I88-J88+K88</f>
        <v>286617.03930000006</v>
      </c>
      <c r="M88" s="53">
        <v>0</v>
      </c>
      <c r="N88" s="53">
        <f>L88-M88</f>
        <v>286617.03930000006</v>
      </c>
      <c r="O88" s="53">
        <v>0</v>
      </c>
      <c r="P88" s="53">
        <v>0</v>
      </c>
      <c r="Q88" s="53">
        <f>N88-O88-P88</f>
        <v>286617.03930000006</v>
      </c>
    </row>
    <row r="89" spans="1:21">
      <c r="A89" s="47" t="s">
        <v>18</v>
      </c>
      <c r="B89" s="48"/>
      <c r="C89" s="48"/>
      <c r="D89" s="43"/>
      <c r="E89" s="173"/>
      <c r="F89" s="4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1:21">
      <c r="A90" s="67" t="s">
        <v>19</v>
      </c>
      <c r="B90" s="48">
        <f>B$86</f>
        <v>0.13500000000000001</v>
      </c>
      <c r="C90" s="48">
        <f t="shared" ref="C90" si="30">C$74</f>
        <v>0</v>
      </c>
      <c r="D90" s="43"/>
      <c r="E90" s="173"/>
      <c r="F90" s="43">
        <v>184053121.80000001</v>
      </c>
      <c r="G90" s="53">
        <f>181913.85*S93</f>
        <v>27749.570338983052</v>
      </c>
      <c r="H90" s="53">
        <f>1512890.05*S93</f>
        <v>230779.83813559325</v>
      </c>
      <c r="I90" s="53">
        <f>F90*C90/100</f>
        <v>0</v>
      </c>
      <c r="J90" s="53">
        <f>65933.73*S93</f>
        <v>10057.687627118645</v>
      </c>
      <c r="K90" s="53">
        <v>0</v>
      </c>
      <c r="L90" s="53">
        <f>G90+H90+I90-J90+K90</f>
        <v>248471.72084745768</v>
      </c>
      <c r="M90" s="53">
        <f>22818.99*S93</f>
        <v>3480.8628813559326</v>
      </c>
      <c r="N90" s="53">
        <f>L90-M90</f>
        <v>244990.85796610176</v>
      </c>
      <c r="O90" s="53">
        <v>0</v>
      </c>
      <c r="P90" s="53">
        <v>0</v>
      </c>
      <c r="Q90" s="53">
        <f>N90-O90-P90</f>
        <v>244990.85796610176</v>
      </c>
      <c r="S90" s="381">
        <f>+Q90+Q78</f>
        <v>1606051.18</v>
      </c>
    </row>
    <row r="91" spans="1:21">
      <c r="A91" s="67" t="s">
        <v>20</v>
      </c>
      <c r="B91" s="48">
        <f t="shared" si="29"/>
        <v>0.13500000000000001</v>
      </c>
      <c r="C91" s="48">
        <f t="shared" si="29"/>
        <v>0</v>
      </c>
      <c r="D91" s="43"/>
      <c r="E91" s="173"/>
      <c r="F91" s="43">
        <v>17496613.870000001</v>
      </c>
      <c r="G91" s="53">
        <f>149974.04*S93</f>
        <v>22877.395932203392</v>
      </c>
      <c r="H91" s="53">
        <f>4870.73*S93</f>
        <v>742.99271186440671</v>
      </c>
      <c r="I91" s="53">
        <v>0</v>
      </c>
      <c r="J91" s="53">
        <v>0</v>
      </c>
      <c r="K91" s="53">
        <v>0</v>
      </c>
      <c r="L91" s="53">
        <f>G91+H91+I91-J91+K91</f>
        <v>23620.3886440678</v>
      </c>
      <c r="M91" s="53">
        <f>10.67*S93</f>
        <v>1.6276271186440678</v>
      </c>
      <c r="N91" s="53">
        <f>L91-M91</f>
        <v>23618.761016949156</v>
      </c>
      <c r="O91" s="53">
        <v>0</v>
      </c>
      <c r="P91" s="53"/>
      <c r="Q91" s="53">
        <f>N91-O91-P91</f>
        <v>23618.761016949156</v>
      </c>
    </row>
    <row r="92" spans="1:21">
      <c r="A92" s="47"/>
      <c r="B92" s="48"/>
      <c r="C92" s="48"/>
      <c r="D92" s="43"/>
      <c r="E92" s="173"/>
      <c r="F92" s="4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T92" s="53"/>
    </row>
    <row r="93" spans="1:21" s="50" customFormat="1">
      <c r="A93" s="57" t="str">
        <f>"TOTAL "&amp;A84</f>
        <v>TOTAL SCHOOL DEBT</v>
      </c>
      <c r="B93" s="51">
        <f>B86</f>
        <v>0.13500000000000001</v>
      </c>
      <c r="C93" s="51">
        <f>C86</f>
        <v>0</v>
      </c>
      <c r="D93" s="78">
        <f t="shared" ref="D93:Q93" si="31">SUM(D86:D88,D90:D91)</f>
        <v>15940</v>
      </c>
      <c r="E93" s="206"/>
      <c r="F93" s="78">
        <f>SUM(F86:F88,F90:F91)</f>
        <v>1472840623.0033333</v>
      </c>
      <c r="G93" s="79">
        <f t="shared" si="31"/>
        <v>418239.14422118646</v>
      </c>
      <c r="H93" s="79">
        <f t="shared" si="31"/>
        <v>1676291.0801474578</v>
      </c>
      <c r="I93" s="79">
        <f t="shared" si="31"/>
        <v>0</v>
      </c>
      <c r="J93" s="79">
        <f t="shared" si="31"/>
        <v>106199.82762711865</v>
      </c>
      <c r="K93" s="79">
        <f t="shared" si="31"/>
        <v>14.16</v>
      </c>
      <c r="L93" s="79">
        <f t="shared" si="31"/>
        <v>1988344.5567415254</v>
      </c>
      <c r="M93" s="79">
        <f t="shared" si="31"/>
        <v>62353.350508474578</v>
      </c>
      <c r="N93" s="79">
        <f t="shared" si="31"/>
        <v>1925991.2062330509</v>
      </c>
      <c r="O93" s="79">
        <f t="shared" si="31"/>
        <v>0</v>
      </c>
      <c r="P93" s="79">
        <f t="shared" si="31"/>
        <v>15200</v>
      </c>
      <c r="Q93" s="79">
        <f t="shared" si="31"/>
        <v>1910791.2062330509</v>
      </c>
      <c r="S93" s="183">
        <f>B93/B95</f>
        <v>0.15254237288135594</v>
      </c>
    </row>
    <row r="94" spans="1:21">
      <c r="A94" s="47"/>
      <c r="B94" s="48"/>
      <c r="C94" s="48"/>
      <c r="D94" s="43"/>
      <c r="E94" s="173"/>
      <c r="F94" s="4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1:21" s="50" customFormat="1" ht="13.5" thickBot="1">
      <c r="A95" s="60" t="str">
        <f>"TOTAL "&amp;A72</f>
        <v>TOTAL SCHOOL DISTRICT</v>
      </c>
      <c r="B95" s="68">
        <f>B81+B93</f>
        <v>0.88500000000000001</v>
      </c>
      <c r="C95" s="68">
        <v>0</v>
      </c>
      <c r="D95" s="69">
        <f>D81</f>
        <v>15940</v>
      </c>
      <c r="E95" s="204"/>
      <c r="F95" s="69">
        <f>F81</f>
        <v>1472840732.3366663</v>
      </c>
      <c r="G95" s="70">
        <f t="shared" ref="G95:Q95" si="32">G81+G93</f>
        <v>2741789.94545</v>
      </c>
      <c r="H95" s="70">
        <f t="shared" si="32"/>
        <v>10989038.454300001</v>
      </c>
      <c r="I95" s="70">
        <f t="shared" si="32"/>
        <v>0</v>
      </c>
      <c r="J95" s="70">
        <f t="shared" si="32"/>
        <v>696199.41</v>
      </c>
      <c r="K95" s="70">
        <f t="shared" si="32"/>
        <v>92.94</v>
      </c>
      <c r="L95" s="70">
        <f t="shared" si="32"/>
        <v>13034721.929749999</v>
      </c>
      <c r="M95" s="70">
        <f t="shared" si="32"/>
        <v>408765.38</v>
      </c>
      <c r="N95" s="70">
        <f t="shared" si="32"/>
        <v>12625956.54975</v>
      </c>
      <c r="O95" s="70">
        <f t="shared" si="32"/>
        <v>0</v>
      </c>
      <c r="P95" s="70">
        <f t="shared" si="32"/>
        <v>100200</v>
      </c>
      <c r="Q95" s="70">
        <f t="shared" si="32"/>
        <v>12525756.54975</v>
      </c>
    </row>
    <row r="96" spans="1:21">
      <c r="A96" s="150" t="s">
        <v>355</v>
      </c>
      <c r="B96" s="48"/>
      <c r="C96" s="48"/>
      <c r="D96" s="43"/>
      <c r="E96" s="173"/>
      <c r="F96" s="64">
        <v>1472838703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1:17">
      <c r="A97" s="151" t="s">
        <v>30</v>
      </c>
      <c r="B97" s="51"/>
      <c r="C97" s="51"/>
      <c r="D97" s="52"/>
      <c r="E97" s="203"/>
      <c r="F97" s="152">
        <f>F95-F96</f>
        <v>2029.3366663455963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1:17">
      <c r="A98" s="54" t="s">
        <v>119</v>
      </c>
      <c r="B98" s="48"/>
      <c r="C98" s="48"/>
      <c r="D98" s="43"/>
      <c r="E98" s="173"/>
      <c r="F98" s="43"/>
      <c r="G98" s="64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1:17">
      <c r="A99" s="50"/>
      <c r="B99" s="51"/>
      <c r="C99" s="51"/>
      <c r="D99" s="52"/>
      <c r="E99" s="65">
        <v>20068709</v>
      </c>
      <c r="F99" s="52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1:17">
      <c r="A100" s="49" t="s">
        <v>15</v>
      </c>
      <c r="B100" s="48">
        <v>0.97</v>
      </c>
      <c r="C100" s="48">
        <v>0</v>
      </c>
      <c r="D100" s="43">
        <v>3444</v>
      </c>
      <c r="E100" s="173">
        <f>G100/B100*100</f>
        <v>14109985.567010308</v>
      </c>
      <c r="F100" s="43">
        <v>320726005</v>
      </c>
      <c r="G100" s="53">
        <v>136866.85999999999</v>
      </c>
      <c r="H100" s="53">
        <v>2981467.09</v>
      </c>
      <c r="I100" s="53">
        <v>0</v>
      </c>
      <c r="J100" s="53">
        <v>7302.96</v>
      </c>
      <c r="K100" s="53">
        <v>9.0299999999999994</v>
      </c>
      <c r="L100" s="53">
        <f>G100+H100+I100-J100+K100</f>
        <v>3111040.0199999996</v>
      </c>
      <c r="M100" s="53">
        <v>180909.49</v>
      </c>
      <c r="N100" s="53">
        <f>L100-M100</f>
        <v>2930130.5299999993</v>
      </c>
      <c r="O100" s="53">
        <v>0</v>
      </c>
      <c r="P100" s="53">
        <v>0</v>
      </c>
      <c r="Q100" s="53">
        <f>N100-O100-P100</f>
        <v>2930130.5299999993</v>
      </c>
    </row>
    <row r="101" spans="1:17">
      <c r="A101" s="47" t="s">
        <v>16</v>
      </c>
      <c r="B101" s="48">
        <f>B100</f>
        <v>0.97</v>
      </c>
      <c r="C101" s="48">
        <f>C100</f>
        <v>0</v>
      </c>
      <c r="D101" s="43"/>
      <c r="E101" s="173"/>
      <c r="F101" s="65">
        <f>IF(E99&gt;E100,E99-E100,0)</f>
        <v>5958723.4329896923</v>
      </c>
      <c r="G101" s="53">
        <f>F101*(B101-C101)/100</f>
        <v>57799.617300000013</v>
      </c>
      <c r="H101" s="53"/>
      <c r="I101" s="53">
        <f>F101*C101/100</f>
        <v>0</v>
      </c>
      <c r="J101" s="53"/>
      <c r="K101" s="53"/>
      <c r="L101" s="53">
        <f>G101+H101+I101-J101+K101</f>
        <v>57799.617300000013</v>
      </c>
      <c r="M101" s="53"/>
      <c r="N101" s="53">
        <f>L101-M101</f>
        <v>57799.617300000013</v>
      </c>
      <c r="O101" s="53"/>
      <c r="P101" s="53"/>
      <c r="Q101" s="53">
        <f>N101-O101-P101</f>
        <v>57799.617300000013</v>
      </c>
    </row>
    <row r="102" spans="1:17">
      <c r="A102" s="47" t="s">
        <v>17</v>
      </c>
      <c r="B102" s="48">
        <f>B100</f>
        <v>0.97</v>
      </c>
      <c r="C102" s="48">
        <f>C100</f>
        <v>0</v>
      </c>
      <c r="D102" s="43"/>
      <c r="E102" s="173"/>
      <c r="F102" s="66">
        <v>16758302</v>
      </c>
      <c r="G102" s="53"/>
      <c r="H102" s="53">
        <f>F102*(B102-C102)/100</f>
        <v>162555.5294</v>
      </c>
      <c r="I102" s="53">
        <f>F102*C102/100</f>
        <v>0</v>
      </c>
      <c r="J102" s="53">
        <v>0</v>
      </c>
      <c r="K102" s="53">
        <v>0</v>
      </c>
      <c r="L102" s="53">
        <f>G102+H102+I102-J102+K102</f>
        <v>162555.5294</v>
      </c>
      <c r="M102" s="53">
        <v>0</v>
      </c>
      <c r="N102" s="53">
        <f>L102-M102</f>
        <v>162555.5294</v>
      </c>
      <c r="O102" s="53">
        <v>0</v>
      </c>
      <c r="P102" s="53">
        <v>0</v>
      </c>
      <c r="Q102" s="53">
        <f>N102-O102-P102</f>
        <v>162555.5294</v>
      </c>
    </row>
    <row r="103" spans="1:17">
      <c r="A103" s="47" t="s">
        <v>18</v>
      </c>
      <c r="B103" s="48"/>
      <c r="C103" s="48"/>
      <c r="D103" s="43"/>
      <c r="E103" s="173"/>
      <c r="F103" s="4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1:17">
      <c r="A104" s="67" t="s">
        <v>19</v>
      </c>
      <c r="B104" s="48">
        <f>B100</f>
        <v>0.97</v>
      </c>
      <c r="C104" s="48">
        <f>C100</f>
        <v>0</v>
      </c>
      <c r="D104" s="43"/>
      <c r="E104" s="173"/>
      <c r="F104" s="43">
        <v>10718663.34</v>
      </c>
      <c r="G104" s="53">
        <v>2373.34</v>
      </c>
      <c r="H104" s="53">
        <v>101619.99</v>
      </c>
      <c r="I104" s="53">
        <v>0</v>
      </c>
      <c r="J104" s="53">
        <v>2299.5100000000002</v>
      </c>
      <c r="K104" s="53">
        <v>0</v>
      </c>
      <c r="L104" s="53">
        <f>G104+H104+I104-J104+K104</f>
        <v>101693.82</v>
      </c>
      <c r="M104" s="53">
        <v>3461.98</v>
      </c>
      <c r="N104" s="53">
        <f>L104-M104</f>
        <v>98231.840000000011</v>
      </c>
      <c r="O104" s="53">
        <v>0</v>
      </c>
      <c r="P104" s="53">
        <v>0</v>
      </c>
      <c r="Q104" s="53">
        <f>N104-O104-P104</f>
        <v>98231.840000000011</v>
      </c>
    </row>
    <row r="105" spans="1:17">
      <c r="A105" s="67" t="s">
        <v>20</v>
      </c>
      <c r="B105" s="48">
        <f>B100</f>
        <v>0.97</v>
      </c>
      <c r="C105" s="48">
        <f>C100</f>
        <v>0</v>
      </c>
      <c r="D105" s="43"/>
      <c r="E105" s="173"/>
      <c r="F105" s="43">
        <v>1408664.41</v>
      </c>
      <c r="G105" s="53">
        <v>13435.36</v>
      </c>
      <c r="H105" s="53">
        <v>228.55</v>
      </c>
      <c r="I105" s="53">
        <v>0</v>
      </c>
      <c r="J105" s="53">
        <v>0</v>
      </c>
      <c r="K105" s="53">
        <v>0</v>
      </c>
      <c r="L105" s="53">
        <f>G105+H105+I105-J105+K105</f>
        <v>13663.91</v>
      </c>
      <c r="M105" s="53">
        <v>0.53</v>
      </c>
      <c r="N105" s="53">
        <f>L105-M105</f>
        <v>13663.38</v>
      </c>
      <c r="O105" s="53">
        <v>0</v>
      </c>
      <c r="P105" s="53">
        <v>0</v>
      </c>
      <c r="Q105" s="53">
        <f>N105-O105-P105</f>
        <v>13663.38</v>
      </c>
    </row>
    <row r="106" spans="1:17">
      <c r="A106" s="47"/>
      <c r="B106" s="48"/>
      <c r="C106" s="48"/>
      <c r="D106" s="43"/>
      <c r="E106" s="173"/>
      <c r="F106" s="4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</row>
    <row r="107" spans="1:17" s="50" customFormat="1" ht="13.5" thickBot="1">
      <c r="A107" s="60" t="str">
        <f>"TOTAL "&amp;A98</f>
        <v>TOTAL CITY OF WINNEMUCCA</v>
      </c>
      <c r="B107" s="68">
        <f>B100</f>
        <v>0.97</v>
      </c>
      <c r="C107" s="68">
        <f>C100</f>
        <v>0</v>
      </c>
      <c r="D107" s="69">
        <f t="shared" ref="D107:Q107" si="33">SUM(D100:D102,D104:D105)</f>
        <v>3444</v>
      </c>
      <c r="E107" s="204"/>
      <c r="F107" s="69">
        <f t="shared" si="33"/>
        <v>355570358.18298972</v>
      </c>
      <c r="G107" s="70">
        <f t="shared" si="33"/>
        <v>210475.17729999998</v>
      </c>
      <c r="H107" s="70">
        <f t="shared" si="33"/>
        <v>3245871.1593999998</v>
      </c>
      <c r="I107" s="70">
        <f t="shared" si="33"/>
        <v>0</v>
      </c>
      <c r="J107" s="70">
        <f t="shared" si="33"/>
        <v>9602.4700000000012</v>
      </c>
      <c r="K107" s="70">
        <f t="shared" si="33"/>
        <v>9.0299999999999994</v>
      </c>
      <c r="L107" s="70">
        <f t="shared" si="33"/>
        <v>3446752.8966999995</v>
      </c>
      <c r="M107" s="70">
        <f t="shared" si="33"/>
        <v>184372</v>
      </c>
      <c r="N107" s="70">
        <f t="shared" si="33"/>
        <v>3262380.896699999</v>
      </c>
      <c r="O107" s="70">
        <f t="shared" si="33"/>
        <v>0</v>
      </c>
      <c r="P107" s="70">
        <f t="shared" si="33"/>
        <v>0</v>
      </c>
      <c r="Q107" s="70">
        <f t="shared" si="33"/>
        <v>3262380.896699999</v>
      </c>
    </row>
    <row r="108" spans="1:17">
      <c r="A108" s="150" t="s">
        <v>355</v>
      </c>
      <c r="B108" s="48"/>
      <c r="C108" s="48"/>
      <c r="D108" s="43"/>
      <c r="E108" s="173"/>
      <c r="F108" s="64">
        <v>355335396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1:17">
      <c r="A109" s="151" t="s">
        <v>30</v>
      </c>
      <c r="B109" s="51"/>
      <c r="C109" s="51"/>
      <c r="D109" s="52"/>
      <c r="E109" s="203"/>
      <c r="F109" s="152">
        <f>F107-F108</f>
        <v>234962.18298971653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1:17">
      <c r="A110" s="54" t="s">
        <v>120</v>
      </c>
      <c r="B110" s="51"/>
      <c r="C110" s="51"/>
      <c r="D110" s="52"/>
      <c r="E110" s="203"/>
      <c r="F110" s="52"/>
      <c r="G110" s="64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1:17">
      <c r="A111" s="47"/>
      <c r="B111" s="48"/>
      <c r="C111" s="48"/>
      <c r="D111" s="43"/>
      <c r="E111" s="65">
        <v>67652101</v>
      </c>
      <c r="F111" s="4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17">
      <c r="A112" s="49" t="s">
        <v>15</v>
      </c>
      <c r="B112" s="48">
        <v>2.9000000000000001E-2</v>
      </c>
      <c r="C112" s="48">
        <v>0</v>
      </c>
      <c r="D112" s="43">
        <v>2868</v>
      </c>
      <c r="E112" s="173">
        <f>G112/B112*100</f>
        <v>110379.31034482758</v>
      </c>
      <c r="F112" s="43">
        <v>200805606</v>
      </c>
      <c r="G112" s="53">
        <v>32.01</v>
      </c>
      <c r="H112" s="53">
        <v>78329.38</v>
      </c>
      <c r="I112" s="53">
        <v>0</v>
      </c>
      <c r="J112" s="53">
        <v>20129.53</v>
      </c>
      <c r="K112" s="53">
        <v>1.06</v>
      </c>
      <c r="L112" s="53">
        <f>G112+H112+I112-J112+K112</f>
        <v>58232.92</v>
      </c>
      <c r="M112" s="53">
        <v>1287.43</v>
      </c>
      <c r="N112" s="53">
        <f>L112-M112</f>
        <v>56945.49</v>
      </c>
      <c r="O112" s="53">
        <v>0</v>
      </c>
      <c r="P112" s="53">
        <v>3300</v>
      </c>
      <c r="Q112" s="53">
        <f>N112-O112-P112</f>
        <v>53645.49</v>
      </c>
    </row>
    <row r="113" spans="1:17">
      <c r="A113" s="47" t="s">
        <v>16</v>
      </c>
      <c r="B113" s="48">
        <f>B112</f>
        <v>2.9000000000000001E-2</v>
      </c>
      <c r="C113" s="48">
        <f>C112</f>
        <v>0</v>
      </c>
      <c r="D113" s="43"/>
      <c r="E113" s="173"/>
      <c r="F113" s="65">
        <f>IF(E111&gt;E112,E111-E112,0)</f>
        <v>67541721.68965517</v>
      </c>
      <c r="G113" s="53">
        <f>F113*(B113-C113)/100</f>
        <v>19587.099289999998</v>
      </c>
      <c r="H113" s="53"/>
      <c r="I113" s="53">
        <f>F113*C113/100</f>
        <v>0</v>
      </c>
      <c r="J113" s="53"/>
      <c r="K113" s="53"/>
      <c r="L113" s="53">
        <f>G113+H113+I113-J113+K113</f>
        <v>19587.099289999998</v>
      </c>
      <c r="M113" s="53"/>
      <c r="N113" s="53">
        <f>L113-M113</f>
        <v>19587.099289999998</v>
      </c>
      <c r="O113" s="53"/>
      <c r="P113" s="53"/>
      <c r="Q113" s="53">
        <f>N113-O113-P113</f>
        <v>19587.099289999998</v>
      </c>
    </row>
    <row r="114" spans="1:17">
      <c r="A114" s="47" t="s">
        <v>17</v>
      </c>
      <c r="B114" s="48">
        <f>B112</f>
        <v>2.9000000000000001E-2</v>
      </c>
      <c r="C114" s="48">
        <f>C112</f>
        <v>0</v>
      </c>
      <c r="D114" s="43"/>
      <c r="E114" s="173"/>
      <c r="F114" s="66">
        <v>63214398</v>
      </c>
      <c r="G114" s="53"/>
      <c r="H114" s="53">
        <f>F114*(B114-C114)/100</f>
        <v>18332.17542</v>
      </c>
      <c r="I114" s="53">
        <f>F114*C114/100</f>
        <v>0</v>
      </c>
      <c r="J114" s="53">
        <v>0</v>
      </c>
      <c r="K114" s="53">
        <v>0</v>
      </c>
      <c r="L114" s="53">
        <f>G114+H114+I114-J114+K114</f>
        <v>18332.17542</v>
      </c>
      <c r="M114" s="53">
        <v>0</v>
      </c>
      <c r="N114" s="53">
        <f>L114-M114</f>
        <v>18332.17542</v>
      </c>
      <c r="O114" s="53">
        <v>0</v>
      </c>
      <c r="P114" s="53">
        <v>0</v>
      </c>
      <c r="Q114" s="53">
        <f>N114-O114-P114</f>
        <v>18332.17542</v>
      </c>
    </row>
    <row r="115" spans="1:17">
      <c r="A115" s="47" t="s">
        <v>18</v>
      </c>
      <c r="B115" s="48"/>
      <c r="C115" s="48"/>
      <c r="D115" s="43"/>
      <c r="E115" s="173"/>
      <c r="F115" s="4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17">
      <c r="A116" s="67" t="s">
        <v>19</v>
      </c>
      <c r="B116" s="48">
        <f>B112</f>
        <v>2.9000000000000001E-2</v>
      </c>
      <c r="C116" s="48">
        <f>C112</f>
        <v>0</v>
      </c>
      <c r="D116" s="43"/>
      <c r="E116" s="173"/>
      <c r="F116" s="43">
        <v>63827662.509999998</v>
      </c>
      <c r="G116" s="53">
        <v>1938.11</v>
      </c>
      <c r="H116" s="53">
        <v>16572.09</v>
      </c>
      <c r="I116" s="53">
        <v>0</v>
      </c>
      <c r="J116" s="53">
        <v>655.83</v>
      </c>
      <c r="K116" s="53">
        <v>0</v>
      </c>
      <c r="L116" s="53">
        <f>G116+H116+I116-J116+K116</f>
        <v>17854.37</v>
      </c>
      <c r="M116" s="53">
        <v>270.2</v>
      </c>
      <c r="N116" s="53">
        <f>L116-M116</f>
        <v>17584.169999999998</v>
      </c>
      <c r="O116" s="53">
        <v>0</v>
      </c>
      <c r="P116" s="53">
        <v>0</v>
      </c>
      <c r="Q116" s="53">
        <f>N116-O116-P116</f>
        <v>17584.169999999998</v>
      </c>
    </row>
    <row r="117" spans="1:17">
      <c r="A117" s="67" t="s">
        <v>20</v>
      </c>
      <c r="B117" s="48">
        <f>B112</f>
        <v>2.9000000000000001E-2</v>
      </c>
      <c r="C117" s="48">
        <f>C112</f>
        <v>0</v>
      </c>
      <c r="D117" s="43"/>
      <c r="E117" s="173"/>
      <c r="F117" s="43">
        <v>6116818.9800000004</v>
      </c>
      <c r="G117" s="53">
        <v>1700.48</v>
      </c>
      <c r="H117" s="53">
        <v>73.33</v>
      </c>
      <c r="I117" s="53">
        <v>0</v>
      </c>
      <c r="J117" s="53">
        <v>0</v>
      </c>
      <c r="K117" s="53">
        <v>0</v>
      </c>
      <c r="L117" s="53">
        <f>G117+H117+I117-J117+K117</f>
        <v>1773.81</v>
      </c>
      <c r="M117" s="53">
        <v>0.17</v>
      </c>
      <c r="N117" s="53">
        <f>L117-M117</f>
        <v>1773.6399999999999</v>
      </c>
      <c r="O117" s="53">
        <v>0</v>
      </c>
      <c r="P117" s="53">
        <v>0</v>
      </c>
      <c r="Q117" s="53">
        <f>N117-O117-P117</f>
        <v>1773.6399999999999</v>
      </c>
    </row>
    <row r="118" spans="1:17">
      <c r="A118" s="47"/>
      <c r="B118" s="48"/>
      <c r="C118" s="48"/>
      <c r="D118" s="43"/>
      <c r="E118" s="173"/>
      <c r="F118" s="4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</row>
    <row r="119" spans="1:17" s="50" customFormat="1" ht="13.5" thickBot="1">
      <c r="A119" s="60" t="str">
        <f>"TOTAL "&amp;A110</f>
        <v>TOTAL GOLCONDA FIRE PROTECTION DISTRICT</v>
      </c>
      <c r="B119" s="68">
        <f>B112</f>
        <v>2.9000000000000001E-2</v>
      </c>
      <c r="C119" s="68">
        <f>C112</f>
        <v>0</v>
      </c>
      <c r="D119" s="69">
        <f t="shared" ref="D119:Q119" si="34">SUM(D112:D114,D116:D117)</f>
        <v>2868</v>
      </c>
      <c r="E119" s="204"/>
      <c r="F119" s="69">
        <f t="shared" si="34"/>
        <v>401506207.17965519</v>
      </c>
      <c r="G119" s="70">
        <f t="shared" si="34"/>
        <v>23257.699289999997</v>
      </c>
      <c r="H119" s="70">
        <f t="shared" si="34"/>
        <v>113306.97542</v>
      </c>
      <c r="I119" s="70">
        <f t="shared" si="34"/>
        <v>0</v>
      </c>
      <c r="J119" s="70">
        <f t="shared" si="34"/>
        <v>20785.36</v>
      </c>
      <c r="K119" s="70">
        <f t="shared" si="34"/>
        <v>1.06</v>
      </c>
      <c r="L119" s="70">
        <f t="shared" si="34"/>
        <v>115780.37470999999</v>
      </c>
      <c r="M119" s="70">
        <f t="shared" si="34"/>
        <v>1557.8000000000002</v>
      </c>
      <c r="N119" s="70">
        <f t="shared" si="34"/>
        <v>114222.57471</v>
      </c>
      <c r="O119" s="70">
        <f t="shared" si="34"/>
        <v>0</v>
      </c>
      <c r="P119" s="70">
        <f t="shared" si="34"/>
        <v>3300</v>
      </c>
      <c r="Q119" s="70">
        <f t="shared" si="34"/>
        <v>110922.57471</v>
      </c>
    </row>
    <row r="120" spans="1:17">
      <c r="A120" s="150" t="s">
        <v>355</v>
      </c>
      <c r="B120" s="48"/>
      <c r="C120" s="48"/>
      <c r="D120" s="43"/>
      <c r="E120" s="173"/>
      <c r="F120" s="64">
        <v>399245394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>
      <c r="A121" s="151" t="s">
        <v>30</v>
      </c>
      <c r="B121" s="51"/>
      <c r="C121" s="51"/>
      <c r="D121" s="52"/>
      <c r="E121" s="203"/>
      <c r="F121" s="152">
        <f>F119-F120</f>
        <v>2260813.1796551943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</row>
    <row r="122" spans="1:17">
      <c r="A122" s="54" t="s">
        <v>121</v>
      </c>
      <c r="B122" s="48"/>
      <c r="C122" s="48"/>
      <c r="D122" s="43"/>
      <c r="E122" s="173"/>
      <c r="F122" s="43"/>
      <c r="G122" s="64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1:17">
      <c r="A123" s="47"/>
      <c r="B123" s="48"/>
      <c r="C123" s="48"/>
      <c r="D123" s="43"/>
      <c r="E123" s="65">
        <v>3950159</v>
      </c>
      <c r="F123" s="4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>
      <c r="A124" s="49" t="s">
        <v>15</v>
      </c>
      <c r="B124" s="48">
        <v>0.1047</v>
      </c>
      <c r="C124" s="48">
        <v>0</v>
      </c>
      <c r="D124" s="43">
        <v>1777</v>
      </c>
      <c r="E124" s="173">
        <f>G124/B124*100</f>
        <v>2531709.6466093599</v>
      </c>
      <c r="F124" s="43">
        <v>55169711</v>
      </c>
      <c r="G124" s="53">
        <v>2650.7</v>
      </c>
      <c r="H124" s="53">
        <v>55304.69</v>
      </c>
      <c r="I124" s="53">
        <v>0</v>
      </c>
      <c r="J124" s="53">
        <v>192.47</v>
      </c>
      <c r="K124" s="53">
        <v>0</v>
      </c>
      <c r="L124" s="53">
        <f>G124+H124+I124-J124+K124</f>
        <v>57762.92</v>
      </c>
      <c r="M124" s="53">
        <v>3584.58</v>
      </c>
      <c r="N124" s="53">
        <f>L124-M124</f>
        <v>54178.34</v>
      </c>
      <c r="O124" s="53">
        <v>0</v>
      </c>
      <c r="P124" s="53">
        <v>0</v>
      </c>
      <c r="Q124" s="53">
        <f>N124-O124-P124</f>
        <v>54178.34</v>
      </c>
    </row>
    <row r="125" spans="1:17">
      <c r="A125" s="47" t="s">
        <v>16</v>
      </c>
      <c r="B125" s="48">
        <f>B124</f>
        <v>0.1047</v>
      </c>
      <c r="C125" s="48">
        <f>C124</f>
        <v>0</v>
      </c>
      <c r="D125" s="43"/>
      <c r="E125" s="173"/>
      <c r="F125" s="65">
        <f>IF(E123&gt;E124,E123-E124,0)</f>
        <v>1418449.3533906401</v>
      </c>
      <c r="G125" s="53">
        <f>F125*(B125-C125)/100</f>
        <v>1485.116473</v>
      </c>
      <c r="H125" s="53"/>
      <c r="I125" s="53">
        <f>F125*C125/100</f>
        <v>0</v>
      </c>
      <c r="J125" s="53"/>
      <c r="K125" s="53"/>
      <c r="L125" s="53">
        <f>G125+H125+I125-J125+K125</f>
        <v>1485.116473</v>
      </c>
      <c r="M125" s="53"/>
      <c r="N125" s="53">
        <f>L125-M125</f>
        <v>1485.116473</v>
      </c>
      <c r="O125" s="53">
        <v>0</v>
      </c>
      <c r="P125" s="53">
        <v>0</v>
      </c>
      <c r="Q125" s="53">
        <f>N125-O125-P125</f>
        <v>1485.116473</v>
      </c>
    </row>
    <row r="126" spans="1:17">
      <c r="A126" s="47" t="s">
        <v>17</v>
      </c>
      <c r="B126" s="48">
        <f>B124</f>
        <v>0.1047</v>
      </c>
      <c r="C126" s="48">
        <f>C124</f>
        <v>0</v>
      </c>
      <c r="D126" s="43"/>
      <c r="E126" s="173"/>
      <c r="F126" s="66">
        <v>8632487</v>
      </c>
      <c r="G126" s="53"/>
      <c r="H126" s="53">
        <f>F126*(B126-C126)/100</f>
        <v>9038.2138890000006</v>
      </c>
      <c r="I126" s="53">
        <f>F126*C126/100</f>
        <v>0</v>
      </c>
      <c r="J126" s="53">
        <v>0</v>
      </c>
      <c r="K126" s="53">
        <v>0</v>
      </c>
      <c r="L126" s="53">
        <f>G126+H126+I126-J126+K126</f>
        <v>9038.2138890000006</v>
      </c>
      <c r="M126" s="53">
        <v>0</v>
      </c>
      <c r="N126" s="53">
        <f>L126-M126</f>
        <v>9038.2138890000006</v>
      </c>
      <c r="O126" s="53">
        <v>0</v>
      </c>
      <c r="P126" s="53">
        <v>0</v>
      </c>
      <c r="Q126" s="53">
        <f>N126-O126-P126</f>
        <v>9038.2138890000006</v>
      </c>
    </row>
    <row r="127" spans="1:17">
      <c r="A127" s="47" t="s">
        <v>18</v>
      </c>
      <c r="B127" s="48"/>
      <c r="C127" s="48"/>
      <c r="D127" s="43"/>
      <c r="E127" s="173"/>
      <c r="F127" s="4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1:17">
      <c r="A128" s="67" t="s">
        <v>19</v>
      </c>
      <c r="B128" s="48">
        <f>B124</f>
        <v>0.1047</v>
      </c>
      <c r="C128" s="48">
        <f>C124</f>
        <v>0</v>
      </c>
      <c r="D128" s="43"/>
      <c r="E128" s="173"/>
      <c r="F128" s="43">
        <v>4039608.3</v>
      </c>
      <c r="G128" s="53">
        <v>148.84</v>
      </c>
      <c r="H128" s="53">
        <v>4080.81</v>
      </c>
      <c r="I128" s="53">
        <v>0</v>
      </c>
      <c r="J128" s="53">
        <v>171.02</v>
      </c>
      <c r="K128" s="53">
        <v>0</v>
      </c>
      <c r="L128" s="53">
        <f>G128+H128+I128-J128+K128</f>
        <v>4058.6299999999997</v>
      </c>
      <c r="M128" s="53">
        <v>214.72</v>
      </c>
      <c r="N128" s="53">
        <f>L128-M128</f>
        <v>3843.91</v>
      </c>
      <c r="O128" s="53">
        <v>0</v>
      </c>
      <c r="P128" s="53">
        <v>0</v>
      </c>
      <c r="Q128" s="53">
        <f>N128-O128-P128</f>
        <v>3843.91</v>
      </c>
    </row>
    <row r="129" spans="1:17">
      <c r="A129" s="67" t="s">
        <v>20</v>
      </c>
      <c r="B129" s="48">
        <f>B124</f>
        <v>0.1047</v>
      </c>
      <c r="C129" s="48">
        <f>C124</f>
        <v>0</v>
      </c>
      <c r="D129" s="43"/>
      <c r="E129" s="173"/>
      <c r="F129" s="43">
        <v>1115309.55</v>
      </c>
      <c r="G129" s="53">
        <v>1167.73</v>
      </c>
      <c r="H129" s="53">
        <v>0</v>
      </c>
      <c r="I129" s="53">
        <v>0</v>
      </c>
      <c r="J129" s="53">
        <v>0</v>
      </c>
      <c r="K129" s="53">
        <v>0</v>
      </c>
      <c r="L129" s="53">
        <f>G129+H129+I129-J129+K129</f>
        <v>1167.73</v>
      </c>
      <c r="M129" s="53">
        <v>0</v>
      </c>
      <c r="N129" s="53">
        <f>L129-M129</f>
        <v>1167.73</v>
      </c>
      <c r="O129" s="53">
        <v>0</v>
      </c>
      <c r="P129" s="53">
        <v>0</v>
      </c>
      <c r="Q129" s="53">
        <f>N129-O129-P129</f>
        <v>1167.73</v>
      </c>
    </row>
    <row r="130" spans="1:17">
      <c r="A130" s="47"/>
      <c r="B130" s="48"/>
      <c r="C130" s="48"/>
      <c r="D130" s="43"/>
      <c r="E130" s="173"/>
      <c r="F130" s="4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</row>
    <row r="131" spans="1:17" s="50" customFormat="1" ht="13.5" thickBot="1">
      <c r="A131" s="60" t="str">
        <f>"TOTAL "&amp;A122</f>
        <v>TOTAL HUMBOLDT COUNTY FIRE DISTRICT</v>
      </c>
      <c r="B131" s="68">
        <f>B124</f>
        <v>0.1047</v>
      </c>
      <c r="C131" s="68">
        <f>C124</f>
        <v>0</v>
      </c>
      <c r="D131" s="69">
        <f t="shared" ref="D131:Q131" si="35">SUM(D124:D126,D128:D129)</f>
        <v>1777</v>
      </c>
      <c r="E131" s="204"/>
      <c r="F131" s="69">
        <f t="shared" si="35"/>
        <v>70375565.203390643</v>
      </c>
      <c r="G131" s="70">
        <f t="shared" si="35"/>
        <v>5452.3864730000005</v>
      </c>
      <c r="H131" s="70">
        <f t="shared" si="35"/>
        <v>68423.713889000006</v>
      </c>
      <c r="I131" s="70">
        <f t="shared" si="35"/>
        <v>0</v>
      </c>
      <c r="J131" s="70">
        <f t="shared" si="35"/>
        <v>363.49</v>
      </c>
      <c r="K131" s="70">
        <f t="shared" si="35"/>
        <v>0</v>
      </c>
      <c r="L131" s="70">
        <f t="shared" si="35"/>
        <v>73512.610362000007</v>
      </c>
      <c r="M131" s="70">
        <f t="shared" si="35"/>
        <v>3799.2999999999997</v>
      </c>
      <c r="N131" s="70">
        <f t="shared" si="35"/>
        <v>69713.310361999989</v>
      </c>
      <c r="O131" s="70">
        <f t="shared" si="35"/>
        <v>0</v>
      </c>
      <c r="P131" s="70">
        <f t="shared" si="35"/>
        <v>0</v>
      </c>
      <c r="Q131" s="70">
        <f t="shared" si="35"/>
        <v>69713.310361999989</v>
      </c>
    </row>
    <row r="132" spans="1:17">
      <c r="A132" s="150" t="s">
        <v>355</v>
      </c>
      <c r="B132" s="48"/>
      <c r="C132" s="48"/>
      <c r="D132" s="43"/>
      <c r="E132" s="173"/>
      <c r="F132" s="64">
        <v>70212451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</row>
    <row r="133" spans="1:17">
      <c r="A133" s="151" t="s">
        <v>30</v>
      </c>
      <c r="B133" s="51"/>
      <c r="C133" s="51"/>
      <c r="D133" s="52"/>
      <c r="E133" s="203"/>
      <c r="F133" s="152">
        <f>F131-F132</f>
        <v>163114.203390643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</row>
    <row r="134" spans="1:17">
      <c r="A134" s="54" t="s">
        <v>122</v>
      </c>
      <c r="B134" s="48"/>
      <c r="C134" s="48"/>
      <c r="D134" s="43"/>
      <c r="E134" s="173"/>
      <c r="F134" s="43"/>
      <c r="G134" s="64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pans="1:17">
      <c r="A135" s="47"/>
      <c r="B135" s="48"/>
      <c r="C135" s="48"/>
      <c r="D135" s="43"/>
      <c r="E135" s="65">
        <v>272305317</v>
      </c>
      <c r="F135" s="4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1:17">
      <c r="A136" s="49" t="s">
        <v>15</v>
      </c>
      <c r="B136" s="48">
        <v>0.39539999999999997</v>
      </c>
      <c r="C136" s="48">
        <v>0</v>
      </c>
      <c r="D136" s="43">
        <v>15940</v>
      </c>
      <c r="E136" s="173">
        <f>G136/B136*100</f>
        <v>21933753.161355592</v>
      </c>
      <c r="F136" s="43">
        <v>808610519</v>
      </c>
      <c r="G136" s="53">
        <v>86726.06</v>
      </c>
      <c r="H136" s="53">
        <v>3392106.95</v>
      </c>
      <c r="I136" s="53">
        <v>0</v>
      </c>
      <c r="J136" s="53">
        <v>281590.03999999998</v>
      </c>
      <c r="K136" s="53">
        <v>41.54</v>
      </c>
      <c r="L136" s="53">
        <f>G136+H136+I136-J136+K136</f>
        <v>3197284.5100000002</v>
      </c>
      <c r="M136" s="53">
        <v>172427.88</v>
      </c>
      <c r="N136" s="53">
        <f>L136-M136</f>
        <v>3024856.6300000004</v>
      </c>
      <c r="O136" s="53">
        <v>0</v>
      </c>
      <c r="P136" s="53">
        <v>45000</v>
      </c>
      <c r="Q136" s="53">
        <f>N136-O136-P136</f>
        <v>2979856.6300000004</v>
      </c>
    </row>
    <row r="137" spans="1:17">
      <c r="A137" s="47" t="s">
        <v>16</v>
      </c>
      <c r="B137" s="48">
        <f>B136</f>
        <v>0.39539999999999997</v>
      </c>
      <c r="C137" s="48">
        <f>C136</f>
        <v>0</v>
      </c>
      <c r="D137" s="43"/>
      <c r="E137" s="173"/>
      <c r="F137" s="65">
        <f>IF(E135&gt;E136,E135-E136,0)</f>
        <v>250371563.83864442</v>
      </c>
      <c r="G137" s="53">
        <f>F137*(B137-C137)/100</f>
        <v>989969.16341799987</v>
      </c>
      <c r="H137" s="53"/>
      <c r="I137" s="53">
        <f>F137*C137/100</f>
        <v>0</v>
      </c>
      <c r="J137" s="53"/>
      <c r="K137" s="53"/>
      <c r="L137" s="53">
        <f>G137+H137+I137-J137+K137</f>
        <v>989969.16341799987</v>
      </c>
      <c r="M137" s="53"/>
      <c r="N137" s="53">
        <f>L137-M137</f>
        <v>989969.16341799987</v>
      </c>
      <c r="O137" s="53">
        <v>0</v>
      </c>
      <c r="P137" s="53">
        <v>0</v>
      </c>
      <c r="Q137" s="53">
        <f>N137-O137-P137</f>
        <v>989969.16341799987</v>
      </c>
    </row>
    <row r="138" spans="1:17">
      <c r="A138" s="47" t="s">
        <v>17</v>
      </c>
      <c r="B138" s="48">
        <f>B136</f>
        <v>0.39539999999999997</v>
      </c>
      <c r="C138" s="48">
        <f>C136</f>
        <v>0</v>
      </c>
      <c r="D138" s="43"/>
      <c r="E138" s="173"/>
      <c r="F138" s="66">
        <v>212308918</v>
      </c>
      <c r="G138" s="53"/>
      <c r="H138" s="53">
        <f>F138*(B138-C138)/100</f>
        <v>839469.46177199995</v>
      </c>
      <c r="I138" s="53">
        <f>F138*C138/100</f>
        <v>0</v>
      </c>
      <c r="J138" s="53">
        <v>0</v>
      </c>
      <c r="K138" s="53">
        <v>0</v>
      </c>
      <c r="L138" s="53">
        <f>G138+H138+I138-J138+K138</f>
        <v>839469.46177199995</v>
      </c>
      <c r="M138" s="53">
        <v>0</v>
      </c>
      <c r="N138" s="53">
        <f>L138-M138</f>
        <v>839469.46177199995</v>
      </c>
      <c r="O138" s="53">
        <v>0</v>
      </c>
      <c r="P138" s="53">
        <v>0</v>
      </c>
      <c r="Q138" s="53">
        <f>N138-O138-P138</f>
        <v>839469.46177199995</v>
      </c>
    </row>
    <row r="139" spans="1:17">
      <c r="A139" s="47" t="s">
        <v>18</v>
      </c>
      <c r="B139" s="48"/>
      <c r="C139" s="48"/>
      <c r="D139" s="43"/>
      <c r="E139" s="173"/>
      <c r="F139" s="4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</row>
    <row r="140" spans="1:17">
      <c r="A140" s="67" t="s">
        <v>19</v>
      </c>
      <c r="B140" s="48">
        <f>B136</f>
        <v>0.39539999999999997</v>
      </c>
      <c r="C140" s="48">
        <f>C136</f>
        <v>0</v>
      </c>
      <c r="D140" s="43"/>
      <c r="E140" s="173"/>
      <c r="F140" s="43">
        <v>191473804.99000001</v>
      </c>
      <c r="G140" s="53">
        <v>81275.429999999993</v>
      </c>
      <c r="H140" s="53">
        <v>675928.49</v>
      </c>
      <c r="I140" s="53">
        <v>0</v>
      </c>
      <c r="J140" s="53">
        <v>29457.87</v>
      </c>
      <c r="K140" s="53">
        <v>0</v>
      </c>
      <c r="L140" s="53">
        <f>G140+H140+I140-J140+K140</f>
        <v>727746.04999999993</v>
      </c>
      <c r="M140" s="53">
        <v>10195.049999999999</v>
      </c>
      <c r="N140" s="53">
        <f>L140-M140</f>
        <v>717550.99999999988</v>
      </c>
      <c r="O140" s="53">
        <v>0</v>
      </c>
      <c r="P140" s="53">
        <v>0</v>
      </c>
      <c r="Q140" s="53">
        <f>N140-O140-P140</f>
        <v>717550.99999999988</v>
      </c>
    </row>
    <row r="141" spans="1:17">
      <c r="A141" s="67" t="s">
        <v>20</v>
      </c>
      <c r="B141" s="48">
        <f>B136</f>
        <v>0.39539999999999997</v>
      </c>
      <c r="C141" s="48">
        <f>C136</f>
        <v>0</v>
      </c>
      <c r="D141" s="43"/>
      <c r="E141" s="173"/>
      <c r="F141" s="43">
        <v>17496613.870000001</v>
      </c>
      <c r="G141" s="53">
        <v>67005.36</v>
      </c>
      <c r="H141" s="53">
        <v>2176.16</v>
      </c>
      <c r="I141" s="53">
        <v>0</v>
      </c>
      <c r="J141" s="53">
        <v>0</v>
      </c>
      <c r="K141" s="53">
        <v>0</v>
      </c>
      <c r="L141" s="53">
        <f>G141+H141+I141-J141+K141</f>
        <v>69181.52</v>
      </c>
      <c r="M141" s="53">
        <v>4.79</v>
      </c>
      <c r="N141" s="53">
        <f>L141-M141</f>
        <v>69176.73000000001</v>
      </c>
      <c r="O141" s="53">
        <v>0</v>
      </c>
      <c r="P141" s="53"/>
      <c r="Q141" s="53">
        <f>N141-O141-P141</f>
        <v>69176.73000000001</v>
      </c>
    </row>
    <row r="142" spans="1:17">
      <c r="A142" s="47"/>
      <c r="B142" s="48"/>
      <c r="C142" s="48"/>
      <c r="D142" s="43"/>
      <c r="E142" s="173"/>
      <c r="F142" s="4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</row>
    <row r="143" spans="1:17" s="50" customFormat="1" ht="13.5" thickBot="1">
      <c r="A143" s="60" t="str">
        <f>"TOTAL "&amp;A134</f>
        <v>TOTAL HUMBOLDT COUNTY HOSPITAL DISTRICT</v>
      </c>
      <c r="B143" s="68">
        <f>B136</f>
        <v>0.39539999999999997</v>
      </c>
      <c r="C143" s="68">
        <f>C136</f>
        <v>0</v>
      </c>
      <c r="D143" s="69">
        <f t="shared" ref="D143:Q143" si="36">SUM(D136:D138,D140:D141)</f>
        <v>15940</v>
      </c>
      <c r="E143" s="204"/>
      <c r="F143" s="69">
        <f t="shared" si="36"/>
        <v>1480261419.6986444</v>
      </c>
      <c r="G143" s="70">
        <f t="shared" si="36"/>
        <v>1224976.013418</v>
      </c>
      <c r="H143" s="70">
        <f t="shared" si="36"/>
        <v>4909681.061772</v>
      </c>
      <c r="I143" s="70">
        <f t="shared" si="36"/>
        <v>0</v>
      </c>
      <c r="J143" s="70">
        <f t="shared" si="36"/>
        <v>311047.90999999997</v>
      </c>
      <c r="K143" s="70">
        <f t="shared" si="36"/>
        <v>41.54</v>
      </c>
      <c r="L143" s="70">
        <f t="shared" si="36"/>
        <v>5823650.7051900001</v>
      </c>
      <c r="M143" s="70">
        <f t="shared" si="36"/>
        <v>182627.72</v>
      </c>
      <c r="N143" s="70">
        <f t="shared" si="36"/>
        <v>5641022.9851900004</v>
      </c>
      <c r="O143" s="70">
        <f t="shared" si="36"/>
        <v>0</v>
      </c>
      <c r="P143" s="70">
        <f>SUM(P136:P138,P140:P141)</f>
        <v>45000</v>
      </c>
      <c r="Q143" s="70">
        <f t="shared" si="36"/>
        <v>5596022.9851900004</v>
      </c>
    </row>
    <row r="144" spans="1:17">
      <c r="A144" s="150" t="s">
        <v>355</v>
      </c>
      <c r="B144" s="48"/>
      <c r="C144" s="48"/>
      <c r="D144" s="43"/>
      <c r="E144" s="173"/>
      <c r="F144" s="64">
        <v>1472838703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</row>
    <row r="145" spans="1:17">
      <c r="A145" s="151" t="s">
        <v>30</v>
      </c>
      <c r="B145" s="51"/>
      <c r="C145" s="51"/>
      <c r="D145" s="52"/>
      <c r="E145" s="203"/>
      <c r="F145" s="152">
        <f>F143-F144</f>
        <v>7422716.6986443996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1:17">
      <c r="A146" s="54" t="s">
        <v>123</v>
      </c>
      <c r="G146" s="64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1:17">
      <c r="E147" s="65">
        <v>303790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1:17">
      <c r="A148" s="49" t="s">
        <v>15</v>
      </c>
      <c r="B148" s="48">
        <v>0.2</v>
      </c>
      <c r="C148" s="48">
        <v>0</v>
      </c>
      <c r="D148" s="43">
        <v>92</v>
      </c>
      <c r="E148" s="173">
        <f>G148/B148*100</f>
        <v>143770</v>
      </c>
      <c r="F148" s="43">
        <v>7994857</v>
      </c>
      <c r="G148" s="53">
        <v>287.54000000000002</v>
      </c>
      <c r="H148" s="53">
        <v>15705.83</v>
      </c>
      <c r="I148" s="53">
        <v>0</v>
      </c>
      <c r="J148" s="53">
        <v>3.64</v>
      </c>
      <c r="K148" s="53">
        <v>0</v>
      </c>
      <c r="L148" s="53">
        <f>G148+H148+I148-J148+K148</f>
        <v>15989.730000000001</v>
      </c>
      <c r="M148" s="53">
        <v>764.08</v>
      </c>
      <c r="N148" s="53">
        <f>L148-M148</f>
        <v>15225.650000000001</v>
      </c>
      <c r="O148" s="53">
        <v>0</v>
      </c>
      <c r="P148" s="53">
        <v>0</v>
      </c>
      <c r="Q148" s="53">
        <f>N148-O148-P148</f>
        <v>15225.650000000001</v>
      </c>
    </row>
    <row r="149" spans="1:17">
      <c r="A149" s="47" t="s">
        <v>16</v>
      </c>
      <c r="B149" s="48">
        <f>B148</f>
        <v>0.2</v>
      </c>
      <c r="C149" s="48">
        <f>C148</f>
        <v>0</v>
      </c>
      <c r="D149" s="43"/>
      <c r="E149" s="173"/>
      <c r="F149" s="65">
        <f>IF(E147&gt;E148,E147-E148,0)</f>
        <v>160020</v>
      </c>
      <c r="G149" s="53">
        <f>F149*(B149-C149)/100</f>
        <v>320.04000000000002</v>
      </c>
      <c r="H149" s="53"/>
      <c r="I149" s="53">
        <f>F149*C149/100</f>
        <v>0</v>
      </c>
      <c r="J149" s="53"/>
      <c r="K149" s="53"/>
      <c r="L149" s="53">
        <f>G149+H149+I149-J149+K149</f>
        <v>320.04000000000002</v>
      </c>
      <c r="M149" s="53"/>
      <c r="N149" s="53">
        <f>L149-M149</f>
        <v>320.04000000000002</v>
      </c>
      <c r="O149" s="53"/>
      <c r="P149" s="53"/>
      <c r="Q149" s="53">
        <f>N149-O149-P149</f>
        <v>320.04000000000002</v>
      </c>
    </row>
    <row r="150" spans="1:17">
      <c r="A150" s="47" t="s">
        <v>17</v>
      </c>
      <c r="B150" s="48">
        <f>B148</f>
        <v>0.2</v>
      </c>
      <c r="C150" s="48">
        <f>C148</f>
        <v>0</v>
      </c>
      <c r="D150" s="43"/>
      <c r="E150" s="173"/>
      <c r="F150" s="66">
        <v>674100</v>
      </c>
      <c r="G150" s="53"/>
      <c r="H150" s="53">
        <f>F150*(B150-C150)/100</f>
        <v>1348.2</v>
      </c>
      <c r="I150" s="53">
        <f>F150*C150/100</f>
        <v>0</v>
      </c>
      <c r="J150" s="53">
        <v>0</v>
      </c>
      <c r="K150" s="53">
        <v>0</v>
      </c>
      <c r="L150" s="53">
        <f>G150+H150+I150-J150+K150</f>
        <v>1348.2</v>
      </c>
      <c r="M150" s="53">
        <v>0</v>
      </c>
      <c r="N150" s="53">
        <f>L150-M150</f>
        <v>1348.2</v>
      </c>
      <c r="O150" s="53">
        <v>0</v>
      </c>
      <c r="P150" s="53">
        <v>0</v>
      </c>
      <c r="Q150" s="53">
        <f>N150-O150-P150</f>
        <v>1348.2</v>
      </c>
    </row>
    <row r="151" spans="1:17">
      <c r="A151" s="47" t="s">
        <v>18</v>
      </c>
      <c r="B151" s="48"/>
      <c r="C151" s="48"/>
      <c r="D151" s="43"/>
      <c r="E151" s="173"/>
      <c r="F151" s="4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1:17">
      <c r="A152" s="67" t="s">
        <v>19</v>
      </c>
      <c r="B152" s="48">
        <f>B148</f>
        <v>0.2</v>
      </c>
      <c r="C152" s="48">
        <f>C148</f>
        <v>0</v>
      </c>
      <c r="D152" s="43"/>
      <c r="E152" s="173"/>
      <c r="F152" s="43">
        <v>27370.82</v>
      </c>
      <c r="G152" s="53">
        <v>0</v>
      </c>
      <c r="H152" s="53">
        <v>54.74</v>
      </c>
      <c r="I152" s="53">
        <f>F152*C152/100</f>
        <v>0</v>
      </c>
      <c r="J152" s="53">
        <v>0.3</v>
      </c>
      <c r="K152" s="53">
        <v>0</v>
      </c>
      <c r="L152" s="53">
        <f>G152+H152+I152-J152+K152</f>
        <v>54.440000000000005</v>
      </c>
      <c r="M152" s="53">
        <v>2.38</v>
      </c>
      <c r="N152" s="53">
        <f>L152-M152</f>
        <v>52.06</v>
      </c>
      <c r="O152" s="53">
        <v>0</v>
      </c>
      <c r="P152" s="53">
        <v>0</v>
      </c>
      <c r="Q152" s="53">
        <f>N152-O152-P152</f>
        <v>52.06</v>
      </c>
    </row>
    <row r="153" spans="1:17">
      <c r="A153" s="67" t="s">
        <v>20</v>
      </c>
      <c r="B153" s="48">
        <f>B148</f>
        <v>0.2</v>
      </c>
      <c r="C153" s="48">
        <f>C148</f>
        <v>0</v>
      </c>
      <c r="D153" s="43"/>
      <c r="E153" s="173"/>
      <c r="F153" s="43">
        <v>26035.56</v>
      </c>
      <c r="G153" s="53">
        <v>52.07</v>
      </c>
      <c r="H153" s="53">
        <v>0</v>
      </c>
      <c r="I153" s="53">
        <v>0</v>
      </c>
      <c r="J153" s="53">
        <v>0</v>
      </c>
      <c r="K153" s="53">
        <v>0</v>
      </c>
      <c r="L153" s="53">
        <f>G153+H153+I153-J153+K153</f>
        <v>52.07</v>
      </c>
      <c r="M153" s="53">
        <v>0</v>
      </c>
      <c r="N153" s="53">
        <f>L153-M153</f>
        <v>52.07</v>
      </c>
      <c r="O153" s="53">
        <v>0</v>
      </c>
      <c r="P153" s="53">
        <v>0</v>
      </c>
      <c r="Q153" s="53">
        <f>N153-O153-P153</f>
        <v>52.07</v>
      </c>
    </row>
    <row r="154" spans="1:17">
      <c r="A154" s="47"/>
      <c r="B154" s="48"/>
      <c r="C154" s="48"/>
      <c r="D154" s="43"/>
      <c r="E154" s="173"/>
      <c r="F154" s="4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1:17" s="50" customFormat="1" ht="13.5" thickBot="1">
      <c r="A155" s="60" t="str">
        <f>"TOTAL "&amp;A146</f>
        <v>TOTAL KINGS RIVER GID</v>
      </c>
      <c r="B155" s="68">
        <f>B148</f>
        <v>0.2</v>
      </c>
      <c r="C155" s="68">
        <f>C148</f>
        <v>0</v>
      </c>
      <c r="D155" s="69">
        <f t="shared" ref="D155:Q155" si="37">SUM(D148:D150,D152:D153)</f>
        <v>92</v>
      </c>
      <c r="E155" s="204"/>
      <c r="F155" s="69">
        <f t="shared" si="37"/>
        <v>8882383.3800000008</v>
      </c>
      <c r="G155" s="70">
        <f t="shared" si="37"/>
        <v>659.65000000000009</v>
      </c>
      <c r="H155" s="70">
        <f t="shared" si="37"/>
        <v>17108.77</v>
      </c>
      <c r="I155" s="70">
        <f t="shared" si="37"/>
        <v>0</v>
      </c>
      <c r="J155" s="70">
        <f t="shared" si="37"/>
        <v>3.94</v>
      </c>
      <c r="K155" s="70">
        <f t="shared" si="37"/>
        <v>0</v>
      </c>
      <c r="L155" s="70">
        <f t="shared" si="37"/>
        <v>17764.48</v>
      </c>
      <c r="M155" s="70">
        <f t="shared" si="37"/>
        <v>766.46</v>
      </c>
      <c r="N155" s="70">
        <f t="shared" si="37"/>
        <v>16998.020000000004</v>
      </c>
      <c r="O155" s="70">
        <f t="shared" si="37"/>
        <v>0</v>
      </c>
      <c r="P155" s="70">
        <f t="shared" si="37"/>
        <v>0</v>
      </c>
      <c r="Q155" s="70">
        <f t="shared" si="37"/>
        <v>16998.020000000004</v>
      </c>
    </row>
    <row r="156" spans="1:17">
      <c r="A156" s="150" t="s">
        <v>355</v>
      </c>
      <c r="B156" s="48"/>
      <c r="C156" s="48"/>
      <c r="D156" s="43"/>
      <c r="E156" s="173"/>
      <c r="F156" s="64">
        <v>8882233</v>
      </c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1:17">
      <c r="A157" s="151" t="s">
        <v>30</v>
      </c>
      <c r="B157" s="51"/>
      <c r="C157" s="51"/>
      <c r="D157" s="52"/>
      <c r="E157" s="203"/>
      <c r="F157" s="152">
        <f>F155-F156</f>
        <v>150.38000000081956</v>
      </c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1:17">
      <c r="A158" s="54" t="s">
        <v>124</v>
      </c>
      <c r="B158" s="84"/>
      <c r="C158" s="84"/>
      <c r="D158" s="84"/>
      <c r="E158" s="210"/>
      <c r="F158" s="84"/>
      <c r="G158" s="64"/>
      <c r="H158" s="53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1:17">
      <c r="A159" s="83"/>
      <c r="B159" s="84"/>
      <c r="C159" s="84"/>
      <c r="D159" s="84"/>
      <c r="E159" s="65">
        <v>606795</v>
      </c>
      <c r="F159" s="84"/>
      <c r="G159" s="59"/>
      <c r="H159" s="53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1:17">
      <c r="A160" s="49" t="s">
        <v>15</v>
      </c>
      <c r="B160" s="48">
        <v>0.46550000000000002</v>
      </c>
      <c r="C160" s="48">
        <v>0</v>
      </c>
      <c r="D160" s="43">
        <v>430</v>
      </c>
      <c r="E160" s="173">
        <f>G160/B160*100</f>
        <v>175899.0332975295</v>
      </c>
      <c r="F160" s="43">
        <v>6680997</v>
      </c>
      <c r="G160" s="53">
        <v>818.81</v>
      </c>
      <c r="H160" s="53">
        <v>30475.31</v>
      </c>
      <c r="I160" s="53">
        <v>0</v>
      </c>
      <c r="J160" s="53">
        <v>194.85</v>
      </c>
      <c r="K160" s="53">
        <v>0</v>
      </c>
      <c r="L160" s="53">
        <f>G160+H160+I160-J160+K160</f>
        <v>31099.270000000004</v>
      </c>
      <c r="M160" s="53">
        <v>1957.65</v>
      </c>
      <c r="N160" s="53">
        <f>L160-M160</f>
        <v>29141.620000000003</v>
      </c>
      <c r="O160" s="53">
        <v>0</v>
      </c>
      <c r="P160" s="53">
        <v>0</v>
      </c>
      <c r="Q160" s="53">
        <f>N160-O160-P160</f>
        <v>29141.620000000003</v>
      </c>
    </row>
    <row r="161" spans="1:17">
      <c r="A161" s="47" t="s">
        <v>16</v>
      </c>
      <c r="B161" s="48">
        <f>B160</f>
        <v>0.46550000000000002</v>
      </c>
      <c r="C161" s="48">
        <f>C160</f>
        <v>0</v>
      </c>
      <c r="D161" s="43"/>
      <c r="E161" s="173"/>
      <c r="F161" s="65">
        <f>IF(E159&gt;E160,E159-E160,0)</f>
        <v>430895.9667024705</v>
      </c>
      <c r="G161" s="53">
        <f>F161*(B161-C161)/100</f>
        <v>2005.8207250000005</v>
      </c>
      <c r="H161" s="53"/>
      <c r="I161" s="53">
        <f>F161*C161/100</f>
        <v>0</v>
      </c>
      <c r="J161" s="53"/>
      <c r="K161" s="53"/>
      <c r="L161" s="53">
        <f>G161+H161+I161-J161+K161</f>
        <v>2005.8207250000005</v>
      </c>
      <c r="M161" s="53"/>
      <c r="N161" s="53">
        <f>L161-M161</f>
        <v>2005.8207250000005</v>
      </c>
      <c r="O161" s="53"/>
      <c r="P161" s="53"/>
      <c r="Q161" s="53">
        <f>N161-O161-P161</f>
        <v>2005.8207250000005</v>
      </c>
    </row>
    <row r="162" spans="1:17">
      <c r="A162" s="47" t="s">
        <v>17</v>
      </c>
      <c r="B162" s="48">
        <f>B160</f>
        <v>0.46550000000000002</v>
      </c>
      <c r="C162" s="48">
        <f>C160</f>
        <v>0</v>
      </c>
      <c r="D162" s="43"/>
      <c r="E162" s="173"/>
      <c r="F162" s="66">
        <v>346463</v>
      </c>
      <c r="G162" s="53"/>
      <c r="H162" s="53">
        <f>F162*(B162-C162)/100</f>
        <v>1612.785265</v>
      </c>
      <c r="I162" s="53">
        <f>F162*C162/100</f>
        <v>0</v>
      </c>
      <c r="J162" s="53">
        <v>0</v>
      </c>
      <c r="K162" s="53">
        <v>0</v>
      </c>
      <c r="L162" s="53">
        <f>G162+H162+I162-J162+K162</f>
        <v>1612.785265</v>
      </c>
      <c r="M162" s="53">
        <v>0</v>
      </c>
      <c r="N162" s="53">
        <f>L162-M162</f>
        <v>1612.785265</v>
      </c>
      <c r="O162" s="53">
        <v>0</v>
      </c>
      <c r="P162" s="53">
        <v>0</v>
      </c>
      <c r="Q162" s="53">
        <f>N162-O162-P162</f>
        <v>1612.785265</v>
      </c>
    </row>
    <row r="163" spans="1:17">
      <c r="A163" s="47" t="s">
        <v>18</v>
      </c>
      <c r="B163" s="48"/>
      <c r="C163" s="48"/>
      <c r="D163" s="43"/>
      <c r="E163" s="173"/>
      <c r="F163" s="4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</row>
    <row r="164" spans="1:17">
      <c r="A164" s="67" t="s">
        <v>19</v>
      </c>
      <c r="B164" s="48">
        <f>B160</f>
        <v>0.46550000000000002</v>
      </c>
      <c r="C164" s="48">
        <f>C160</f>
        <v>0</v>
      </c>
      <c r="D164" s="43"/>
      <c r="E164" s="173"/>
      <c r="F164" s="43">
        <v>314414.93</v>
      </c>
      <c r="G164" s="53">
        <v>0</v>
      </c>
      <c r="H164" s="53">
        <v>1463.64</v>
      </c>
      <c r="I164" s="53">
        <f>F164*C164/100</f>
        <v>0</v>
      </c>
      <c r="J164" s="53">
        <v>7.89</v>
      </c>
      <c r="K164" s="53">
        <v>0</v>
      </c>
      <c r="L164" s="53">
        <f>G164+H164+I164-J164+K164</f>
        <v>1455.75</v>
      </c>
      <c r="M164" s="53">
        <v>63.63</v>
      </c>
      <c r="N164" s="53">
        <f>L164-M164</f>
        <v>1392.12</v>
      </c>
      <c r="O164" s="53">
        <v>0</v>
      </c>
      <c r="P164" s="53">
        <v>0</v>
      </c>
      <c r="Q164" s="53">
        <f>N164-O164-P164</f>
        <v>1392.12</v>
      </c>
    </row>
    <row r="165" spans="1:17">
      <c r="A165" s="67" t="s">
        <v>20</v>
      </c>
      <c r="B165" s="48">
        <f>B160</f>
        <v>0.46550000000000002</v>
      </c>
      <c r="C165" s="48">
        <f>C160</f>
        <v>0</v>
      </c>
      <c r="D165" s="43"/>
      <c r="E165" s="173"/>
      <c r="F165" s="43">
        <v>299080.77</v>
      </c>
      <c r="G165" s="53">
        <v>1392.22</v>
      </c>
      <c r="H165" s="53"/>
      <c r="I165" s="53">
        <v>0</v>
      </c>
      <c r="J165" s="53">
        <v>0</v>
      </c>
      <c r="K165" s="53">
        <v>0</v>
      </c>
      <c r="L165" s="53">
        <f>G165+H165+I165-J165+K165</f>
        <v>1392.22</v>
      </c>
      <c r="M165" s="53">
        <v>0</v>
      </c>
      <c r="N165" s="53">
        <f>L165-M165</f>
        <v>1392.22</v>
      </c>
      <c r="O165" s="53">
        <v>0</v>
      </c>
      <c r="P165" s="53">
        <v>0</v>
      </c>
      <c r="Q165" s="53">
        <f>N165-O165-P165</f>
        <v>1392.22</v>
      </c>
    </row>
    <row r="166" spans="1:17">
      <c r="A166" s="47"/>
      <c r="B166" s="48"/>
      <c r="C166" s="48"/>
      <c r="D166" s="43"/>
      <c r="E166" s="173"/>
      <c r="F166" s="4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</row>
    <row r="167" spans="1:17" s="50" customFormat="1" ht="13.5" thickBot="1">
      <c r="A167" s="60" t="str">
        <f>"TOTAL "&amp;A158</f>
        <v>TOTAL MCDERMITT FIRE PROTECTION DISTRICT</v>
      </c>
      <c r="B167" s="68">
        <f>B160</f>
        <v>0.46550000000000002</v>
      </c>
      <c r="C167" s="68">
        <f>C160</f>
        <v>0</v>
      </c>
      <c r="D167" s="69">
        <f t="shared" ref="D167:Q167" si="38">SUM(D160:D162,D164:D165)</f>
        <v>430</v>
      </c>
      <c r="E167" s="204"/>
      <c r="F167" s="69">
        <f t="shared" si="38"/>
        <v>8071851.6667024698</v>
      </c>
      <c r="G167" s="70">
        <f t="shared" si="38"/>
        <v>4216.8507250000002</v>
      </c>
      <c r="H167" s="70">
        <f t="shared" si="38"/>
        <v>33551.735265000003</v>
      </c>
      <c r="I167" s="70">
        <f t="shared" si="38"/>
        <v>0</v>
      </c>
      <c r="J167" s="70">
        <f t="shared" si="38"/>
        <v>202.73999999999998</v>
      </c>
      <c r="K167" s="70">
        <f t="shared" si="38"/>
        <v>0</v>
      </c>
      <c r="L167" s="70">
        <f t="shared" si="38"/>
        <v>37565.845990000002</v>
      </c>
      <c r="M167" s="70">
        <f t="shared" si="38"/>
        <v>2021.2800000000002</v>
      </c>
      <c r="N167" s="70">
        <f t="shared" si="38"/>
        <v>35544.565990000003</v>
      </c>
      <c r="O167" s="70">
        <f t="shared" si="38"/>
        <v>0</v>
      </c>
      <c r="P167" s="70">
        <f t="shared" si="38"/>
        <v>0</v>
      </c>
      <c r="Q167" s="70">
        <f t="shared" si="38"/>
        <v>35544.565990000003</v>
      </c>
    </row>
    <row r="168" spans="1:17">
      <c r="A168" s="150" t="s">
        <v>355</v>
      </c>
      <c r="B168" s="48"/>
      <c r="C168" s="48"/>
      <c r="D168" s="43"/>
      <c r="E168" s="173"/>
      <c r="F168" s="64">
        <v>8070164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1:17">
      <c r="A169" s="151" t="s">
        <v>30</v>
      </c>
      <c r="B169" s="51"/>
      <c r="C169" s="51"/>
      <c r="D169" s="52"/>
      <c r="E169" s="203"/>
      <c r="F169" s="152">
        <f>F167-F168</f>
        <v>1687.6667024698108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1:17">
      <c r="A170" s="54" t="s">
        <v>125</v>
      </c>
      <c r="G170" s="64"/>
      <c r="H170" s="53"/>
      <c r="I170" s="53"/>
      <c r="J170" s="53"/>
      <c r="K170" s="53"/>
      <c r="L170" s="53"/>
      <c r="M170" s="53"/>
      <c r="N170" s="53"/>
      <c r="O170" s="53"/>
      <c r="P170" s="53"/>
      <c r="Q170" s="53"/>
    </row>
    <row r="171" spans="1:17" ht="12" customHeight="1">
      <c r="A171" s="50"/>
      <c r="B171" s="50"/>
      <c r="C171" s="50"/>
      <c r="D171" s="50"/>
      <c r="E171" s="65">
        <v>944073</v>
      </c>
      <c r="F171" s="50"/>
      <c r="G171" s="59"/>
      <c r="H171" s="53"/>
      <c r="I171" s="53"/>
      <c r="J171" s="53"/>
      <c r="K171" s="53"/>
      <c r="L171" s="53"/>
      <c r="M171" s="53"/>
      <c r="N171" s="53"/>
      <c r="O171" s="53"/>
      <c r="P171" s="53"/>
      <c r="Q171" s="53"/>
    </row>
    <row r="172" spans="1:17">
      <c r="A172" s="49" t="s">
        <v>15</v>
      </c>
      <c r="B172" s="48">
        <v>9.74E-2</v>
      </c>
      <c r="C172" s="48">
        <v>0</v>
      </c>
      <c r="D172" s="43">
        <v>421</v>
      </c>
      <c r="E172" s="173">
        <f>G172/B172*100</f>
        <v>643552.36139630398</v>
      </c>
      <c r="F172" s="43">
        <v>17485131</v>
      </c>
      <c r="G172" s="53">
        <v>626.82000000000005</v>
      </c>
      <c r="H172" s="53">
        <v>16507.38</v>
      </c>
      <c r="I172" s="53">
        <v>0</v>
      </c>
      <c r="J172" s="53">
        <v>103.82</v>
      </c>
      <c r="K172" s="53">
        <v>0.21</v>
      </c>
      <c r="L172" s="53">
        <f>G172+H172+I172-J172+K172</f>
        <v>17030.59</v>
      </c>
      <c r="M172" s="53">
        <v>623.91</v>
      </c>
      <c r="N172" s="53">
        <f>L172-M172</f>
        <v>16406.68</v>
      </c>
      <c r="O172" s="53">
        <v>0</v>
      </c>
      <c r="P172" s="53">
        <v>0</v>
      </c>
      <c r="Q172" s="53">
        <f>N172-O172-P172</f>
        <v>16406.68</v>
      </c>
    </row>
    <row r="173" spans="1:17">
      <c r="A173" s="47" t="s">
        <v>16</v>
      </c>
      <c r="B173" s="48">
        <f>B172</f>
        <v>9.74E-2</v>
      </c>
      <c r="C173" s="48">
        <f>C172</f>
        <v>0</v>
      </c>
      <c r="D173" s="43"/>
      <c r="E173" s="173"/>
      <c r="F173" s="65">
        <f>IF(E171&gt;E172,E171-E172,0)</f>
        <v>300520.63860369602</v>
      </c>
      <c r="G173" s="53">
        <f>F173*(B173-C173)/100</f>
        <v>292.70710199999991</v>
      </c>
      <c r="H173" s="53"/>
      <c r="I173" s="53">
        <f>F173*C173/100</f>
        <v>0</v>
      </c>
      <c r="J173" s="53"/>
      <c r="K173" s="53"/>
      <c r="L173" s="53">
        <f>G173+H173+I173-J173+K173</f>
        <v>292.70710199999991</v>
      </c>
      <c r="M173" s="53"/>
      <c r="N173" s="53">
        <f>L173-M173</f>
        <v>292.70710199999991</v>
      </c>
      <c r="O173" s="53"/>
      <c r="P173" s="53"/>
      <c r="Q173" s="53">
        <f>N173-O173-P173</f>
        <v>292.70710199999991</v>
      </c>
    </row>
    <row r="174" spans="1:17">
      <c r="A174" s="47" t="s">
        <v>17</v>
      </c>
      <c r="B174" s="48">
        <f>B172</f>
        <v>9.74E-2</v>
      </c>
      <c r="C174" s="48">
        <f>C172</f>
        <v>0</v>
      </c>
      <c r="D174" s="43"/>
      <c r="E174" s="173"/>
      <c r="F174" s="66">
        <v>853469</v>
      </c>
      <c r="G174" s="53"/>
      <c r="H174" s="53">
        <f>F174*(B174-C174)/100</f>
        <v>831.27880600000003</v>
      </c>
      <c r="I174" s="53">
        <f>F174*C174/100</f>
        <v>0</v>
      </c>
      <c r="J174" s="53">
        <v>0</v>
      </c>
      <c r="K174" s="53">
        <v>0</v>
      </c>
      <c r="L174" s="53">
        <f>G174+H174+I174-J174+K174</f>
        <v>831.27880600000003</v>
      </c>
      <c r="M174" s="53">
        <v>0</v>
      </c>
      <c r="N174" s="53">
        <f>L174-M174</f>
        <v>831.27880600000003</v>
      </c>
      <c r="O174" s="53">
        <v>0</v>
      </c>
      <c r="P174" s="53">
        <v>0</v>
      </c>
      <c r="Q174" s="53">
        <f>N174-O174-P174</f>
        <v>831.27880600000003</v>
      </c>
    </row>
    <row r="175" spans="1:17">
      <c r="A175" s="47" t="s">
        <v>18</v>
      </c>
      <c r="B175" s="48"/>
      <c r="C175" s="48"/>
      <c r="D175" s="43"/>
      <c r="E175" s="173"/>
      <c r="F175" s="4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</row>
    <row r="176" spans="1:17">
      <c r="A176" s="67" t="s">
        <v>19</v>
      </c>
      <c r="B176" s="48">
        <f>B172</f>
        <v>9.74E-2</v>
      </c>
      <c r="C176" s="48">
        <f>C172</f>
        <v>0</v>
      </c>
      <c r="D176" s="43"/>
      <c r="E176" s="173"/>
      <c r="F176" s="43">
        <v>2688914.48</v>
      </c>
      <c r="G176" s="53">
        <v>0</v>
      </c>
      <c r="H176" s="53">
        <v>2619</v>
      </c>
      <c r="I176" s="53">
        <v>0</v>
      </c>
      <c r="J176" s="53">
        <v>2.77</v>
      </c>
      <c r="K176" s="53">
        <v>0</v>
      </c>
      <c r="L176" s="53">
        <f>G176+H176+I176-J176+K176</f>
        <v>2616.23</v>
      </c>
      <c r="M176" s="53">
        <v>19.52</v>
      </c>
      <c r="N176" s="53">
        <f>L176-M176</f>
        <v>2596.71</v>
      </c>
      <c r="O176" s="53">
        <v>0</v>
      </c>
      <c r="P176" s="53">
        <v>0</v>
      </c>
      <c r="Q176" s="53">
        <f>N176-O176-P176</f>
        <v>2596.71</v>
      </c>
    </row>
    <row r="177" spans="1:17">
      <c r="A177" s="67" t="s">
        <v>20</v>
      </c>
      <c r="B177" s="48">
        <f>B172</f>
        <v>9.74E-2</v>
      </c>
      <c r="C177" s="48">
        <f>C172</f>
        <v>0</v>
      </c>
      <c r="D177" s="43"/>
      <c r="E177" s="173"/>
      <c r="F177" s="43">
        <v>438656.7</v>
      </c>
      <c r="G177" s="53">
        <v>427.25</v>
      </c>
      <c r="H177" s="53"/>
      <c r="I177" s="53">
        <v>0</v>
      </c>
      <c r="J177" s="53">
        <v>0</v>
      </c>
      <c r="K177" s="53">
        <v>0</v>
      </c>
      <c r="L177" s="53">
        <f>G177+H177+I177-J177+K177</f>
        <v>427.25</v>
      </c>
      <c r="M177" s="53">
        <v>0</v>
      </c>
      <c r="N177" s="53">
        <f>L177-M177</f>
        <v>427.25</v>
      </c>
      <c r="O177" s="53">
        <v>0</v>
      </c>
      <c r="P177" s="53">
        <v>0</v>
      </c>
      <c r="Q177" s="53">
        <f>N177-O177-P177</f>
        <v>427.25</v>
      </c>
    </row>
    <row r="178" spans="1:17">
      <c r="A178" s="47"/>
      <c r="B178" s="48"/>
      <c r="C178" s="48"/>
      <c r="D178" s="43"/>
      <c r="E178" s="173"/>
      <c r="F178" s="4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</row>
    <row r="179" spans="1:17" s="50" customFormat="1" ht="13.5" thickBot="1">
      <c r="A179" s="60" t="str">
        <f>"TOTAL "&amp;A170</f>
        <v>TOTAL OROVADA COMMUNITY SERVICES DISTRICT</v>
      </c>
      <c r="B179" s="68">
        <f>B172</f>
        <v>9.74E-2</v>
      </c>
      <c r="C179" s="68">
        <f>C172</f>
        <v>0</v>
      </c>
      <c r="D179" s="69">
        <f t="shared" ref="D179:Q179" si="39">SUM(D172:D174,D176:D177)</f>
        <v>421</v>
      </c>
      <c r="E179" s="204"/>
      <c r="F179" s="69">
        <f t="shared" si="39"/>
        <v>21766691.818603694</v>
      </c>
      <c r="G179" s="70">
        <f t="shared" si="39"/>
        <v>1346.777102</v>
      </c>
      <c r="H179" s="70">
        <f t="shared" si="39"/>
        <v>19957.658805999999</v>
      </c>
      <c r="I179" s="70">
        <f t="shared" si="39"/>
        <v>0</v>
      </c>
      <c r="J179" s="70">
        <f t="shared" si="39"/>
        <v>106.58999999999999</v>
      </c>
      <c r="K179" s="70">
        <f t="shared" si="39"/>
        <v>0.21</v>
      </c>
      <c r="L179" s="70">
        <f t="shared" si="39"/>
        <v>21198.055907999998</v>
      </c>
      <c r="M179" s="70">
        <f t="shared" si="39"/>
        <v>643.42999999999995</v>
      </c>
      <c r="N179" s="70">
        <f t="shared" si="39"/>
        <v>20554.625907999998</v>
      </c>
      <c r="O179" s="70">
        <f t="shared" si="39"/>
        <v>0</v>
      </c>
      <c r="P179" s="70">
        <f t="shared" si="39"/>
        <v>0</v>
      </c>
      <c r="Q179" s="70">
        <f t="shared" si="39"/>
        <v>20554.625907999998</v>
      </c>
    </row>
    <row r="180" spans="1:17">
      <c r="A180" s="150" t="s">
        <v>355</v>
      </c>
      <c r="B180" s="48"/>
      <c r="C180" s="48"/>
      <c r="D180" s="43"/>
      <c r="E180" s="173"/>
      <c r="F180" s="64">
        <v>21763850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</row>
    <row r="181" spans="1:17">
      <c r="A181" s="151" t="s">
        <v>30</v>
      </c>
      <c r="B181" s="51"/>
      <c r="C181" s="51"/>
      <c r="D181" s="52"/>
      <c r="E181" s="203"/>
      <c r="F181" s="152">
        <f>F179-F180</f>
        <v>2841.8186036944389</v>
      </c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</row>
    <row r="182" spans="1:17">
      <c r="A182" s="54" t="s">
        <v>126</v>
      </c>
      <c r="G182" s="64"/>
      <c r="H182" s="53"/>
      <c r="I182" s="53"/>
      <c r="J182" s="53"/>
      <c r="K182" s="53"/>
      <c r="L182" s="53"/>
      <c r="M182" s="53"/>
      <c r="N182" s="53"/>
      <c r="O182" s="53"/>
      <c r="P182" s="53"/>
      <c r="Q182" s="53"/>
    </row>
    <row r="183" spans="1:17" ht="12" customHeight="1">
      <c r="A183" s="83"/>
      <c r="B183" s="84"/>
      <c r="C183" s="84"/>
      <c r="D183" s="84"/>
      <c r="E183" s="65">
        <v>944073</v>
      </c>
      <c r="F183" s="84"/>
      <c r="G183" s="59"/>
      <c r="H183" s="53"/>
      <c r="I183" s="53"/>
      <c r="J183" s="53"/>
      <c r="K183" s="53"/>
      <c r="L183" s="53"/>
      <c r="M183" s="53"/>
      <c r="N183" s="53"/>
      <c r="O183" s="53"/>
      <c r="P183" s="53"/>
      <c r="Q183" s="53"/>
    </row>
    <row r="184" spans="1:17">
      <c r="A184" s="49" t="s">
        <v>15</v>
      </c>
      <c r="B184" s="48">
        <v>0.15</v>
      </c>
      <c r="C184" s="48">
        <v>0</v>
      </c>
      <c r="D184" s="43">
        <v>421</v>
      </c>
      <c r="E184" s="173">
        <f>G184/B184*100</f>
        <v>643560</v>
      </c>
      <c r="F184" s="43">
        <v>17485131</v>
      </c>
      <c r="G184" s="53">
        <v>965.34</v>
      </c>
      <c r="H184" s="53">
        <v>25421.84</v>
      </c>
      <c r="I184" s="53">
        <v>0</v>
      </c>
      <c r="J184" s="53">
        <v>159.88</v>
      </c>
      <c r="K184" s="53">
        <v>0.33</v>
      </c>
      <c r="L184" s="53">
        <f>G184+H184+I184-J184+K184</f>
        <v>26227.63</v>
      </c>
      <c r="M184" s="53">
        <v>960.92</v>
      </c>
      <c r="N184" s="53">
        <f>L184-M184</f>
        <v>25266.710000000003</v>
      </c>
      <c r="O184" s="53">
        <v>0</v>
      </c>
      <c r="P184" s="53">
        <v>0</v>
      </c>
      <c r="Q184" s="53">
        <f>N184-O184-P184</f>
        <v>25266.710000000003</v>
      </c>
    </row>
    <row r="185" spans="1:17">
      <c r="A185" s="47" t="s">
        <v>16</v>
      </c>
      <c r="B185" s="48">
        <f>B184</f>
        <v>0.15</v>
      </c>
      <c r="C185" s="48">
        <f>C184</f>
        <v>0</v>
      </c>
      <c r="D185" s="43"/>
      <c r="E185" s="173"/>
      <c r="F185" s="65">
        <f>IF(E183&gt;E184,E183-E184,0)</f>
        <v>300513</v>
      </c>
      <c r="G185" s="53">
        <f>F185*(B185-C185)/100</f>
        <v>450.76949999999999</v>
      </c>
      <c r="H185" s="53"/>
      <c r="I185" s="53">
        <f>F185*C185/100</f>
        <v>0</v>
      </c>
      <c r="J185" s="53"/>
      <c r="K185" s="53"/>
      <c r="L185" s="53">
        <f>G185+H185+I185-J185+K185</f>
        <v>450.76949999999999</v>
      </c>
      <c r="M185" s="53"/>
      <c r="N185" s="53">
        <f>L185-M185</f>
        <v>450.76949999999999</v>
      </c>
      <c r="O185" s="53"/>
      <c r="P185" s="53"/>
      <c r="Q185" s="53">
        <f>N185-O185-P185</f>
        <v>450.76949999999999</v>
      </c>
    </row>
    <row r="186" spans="1:17">
      <c r="A186" s="47" t="s">
        <v>17</v>
      </c>
      <c r="B186" s="48">
        <f>B184</f>
        <v>0.15</v>
      </c>
      <c r="C186" s="48">
        <f>C184</f>
        <v>0</v>
      </c>
      <c r="D186" s="43"/>
      <c r="E186" s="173"/>
      <c r="F186" s="66">
        <v>853469</v>
      </c>
      <c r="G186" s="53"/>
      <c r="H186" s="53">
        <f>F186*(B186-C186)/100</f>
        <v>1280.2034999999998</v>
      </c>
      <c r="I186" s="53">
        <f>F186*C186/100</f>
        <v>0</v>
      </c>
      <c r="J186" s="53">
        <v>0</v>
      </c>
      <c r="K186" s="53">
        <v>0</v>
      </c>
      <c r="L186" s="53">
        <f>G186+H186+I186-J186+K186</f>
        <v>1280.2034999999998</v>
      </c>
      <c r="M186" s="53">
        <v>0</v>
      </c>
      <c r="N186" s="53">
        <f>L186-M186</f>
        <v>1280.2034999999998</v>
      </c>
      <c r="O186" s="53">
        <v>0</v>
      </c>
      <c r="P186" s="53">
        <v>0</v>
      </c>
      <c r="Q186" s="53">
        <f>N186-O186-P186</f>
        <v>1280.2034999999998</v>
      </c>
    </row>
    <row r="187" spans="1:17">
      <c r="A187" s="47" t="s">
        <v>18</v>
      </c>
      <c r="B187" s="48"/>
      <c r="C187" s="48"/>
      <c r="D187" s="43"/>
      <c r="E187" s="173"/>
      <c r="F187" s="4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</row>
    <row r="188" spans="1:17">
      <c r="A188" s="67" t="s">
        <v>19</v>
      </c>
      <c r="B188" s="48">
        <f>B184</f>
        <v>0.15</v>
      </c>
      <c r="C188" s="48">
        <f>C184</f>
        <v>0</v>
      </c>
      <c r="D188" s="43"/>
      <c r="E188" s="173"/>
      <c r="F188" s="43">
        <v>2688912.99</v>
      </c>
      <c r="G188" s="53">
        <v>0</v>
      </c>
      <c r="H188" s="53">
        <v>4033.38</v>
      </c>
      <c r="I188" s="53">
        <v>0</v>
      </c>
      <c r="J188" s="53">
        <v>4.26</v>
      </c>
      <c r="K188" s="53">
        <v>0</v>
      </c>
      <c r="L188" s="53">
        <f>G188+H188+I188-J188+K188</f>
        <v>4029.12</v>
      </c>
      <c r="M188" s="53">
        <v>30.05</v>
      </c>
      <c r="N188" s="53">
        <f>L188-M188</f>
        <v>3999.0699999999997</v>
      </c>
      <c r="O188" s="53">
        <v>0</v>
      </c>
      <c r="P188" s="53">
        <v>0</v>
      </c>
      <c r="Q188" s="53">
        <f>N188-O188-P188</f>
        <v>3999.0699999999997</v>
      </c>
    </row>
    <row r="189" spans="1:17">
      <c r="A189" s="67" t="s">
        <v>20</v>
      </c>
      <c r="B189" s="48">
        <f>B184</f>
        <v>0.15</v>
      </c>
      <c r="C189" s="48">
        <f>C184</f>
        <v>0</v>
      </c>
      <c r="D189" s="43"/>
      <c r="E189" s="173"/>
      <c r="F189" s="43">
        <v>438656.7</v>
      </c>
      <c r="G189" s="53">
        <v>657.99</v>
      </c>
      <c r="H189" s="53"/>
      <c r="I189" s="53">
        <v>0</v>
      </c>
      <c r="J189" s="53">
        <v>0</v>
      </c>
      <c r="K189" s="53">
        <v>0</v>
      </c>
      <c r="L189" s="53">
        <f>G189+H189+I189-J189+K189</f>
        <v>657.99</v>
      </c>
      <c r="M189" s="53">
        <v>0</v>
      </c>
      <c r="N189" s="53">
        <f>L189-M189</f>
        <v>657.99</v>
      </c>
      <c r="O189" s="53">
        <v>0</v>
      </c>
      <c r="P189" s="53">
        <v>0</v>
      </c>
      <c r="Q189" s="53">
        <f>N189-O189-P189</f>
        <v>657.99</v>
      </c>
    </row>
    <row r="190" spans="1:17">
      <c r="A190" s="47"/>
      <c r="B190" s="48"/>
      <c r="C190" s="48"/>
      <c r="D190" s="43"/>
      <c r="E190" s="173"/>
      <c r="F190" s="4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1:17" s="50" customFormat="1" ht="13.5" thickBot="1">
      <c r="A191" s="60" t="str">
        <f>"TOTAL "&amp;A182</f>
        <v>TOTAL OROVADA FIRE PROTECTION DISTRICT</v>
      </c>
      <c r="B191" s="68">
        <f>B184</f>
        <v>0.15</v>
      </c>
      <c r="C191" s="68">
        <f>C184</f>
        <v>0</v>
      </c>
      <c r="D191" s="69">
        <f t="shared" ref="D191:Q191" si="40">SUM(D184:D186,D188:D189)</f>
        <v>421</v>
      </c>
      <c r="E191" s="204"/>
      <c r="F191" s="69">
        <f t="shared" si="40"/>
        <v>21766682.690000001</v>
      </c>
      <c r="G191" s="70">
        <f t="shared" si="40"/>
        <v>2074.0995000000003</v>
      </c>
      <c r="H191" s="70">
        <f t="shared" si="40"/>
        <v>30735.423500000001</v>
      </c>
      <c r="I191" s="70">
        <f t="shared" si="40"/>
        <v>0</v>
      </c>
      <c r="J191" s="70">
        <f t="shared" si="40"/>
        <v>164.14</v>
      </c>
      <c r="K191" s="70">
        <f t="shared" si="40"/>
        <v>0.33</v>
      </c>
      <c r="L191" s="70">
        <f t="shared" si="40"/>
        <v>32645.713</v>
      </c>
      <c r="M191" s="70">
        <f t="shared" si="40"/>
        <v>990.96999999999991</v>
      </c>
      <c r="N191" s="70">
        <f t="shared" si="40"/>
        <v>31654.743000000002</v>
      </c>
      <c r="O191" s="70">
        <f t="shared" si="40"/>
        <v>0</v>
      </c>
      <c r="P191" s="70">
        <f t="shared" si="40"/>
        <v>0</v>
      </c>
      <c r="Q191" s="70">
        <f t="shared" si="40"/>
        <v>31654.743000000002</v>
      </c>
    </row>
    <row r="192" spans="1:17">
      <c r="A192" s="150" t="s">
        <v>355</v>
      </c>
      <c r="B192" s="48"/>
      <c r="C192" s="48"/>
      <c r="D192" s="43"/>
      <c r="E192" s="173"/>
      <c r="F192" s="64">
        <v>21763850</v>
      </c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</row>
    <row r="193" spans="1:17">
      <c r="A193" s="151" t="s">
        <v>30</v>
      </c>
      <c r="B193" s="51"/>
      <c r="C193" s="51"/>
      <c r="D193" s="52"/>
      <c r="E193" s="203"/>
      <c r="F193" s="152">
        <f>F191-F192</f>
        <v>2832.6900000013411</v>
      </c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</row>
    <row r="194" spans="1:17">
      <c r="A194" s="54" t="s">
        <v>127</v>
      </c>
      <c r="B194" s="50"/>
      <c r="C194" s="50"/>
      <c r="D194" s="50"/>
      <c r="E194" s="211"/>
      <c r="F194" s="50"/>
      <c r="G194" s="64"/>
      <c r="H194" s="53"/>
      <c r="I194" s="53"/>
      <c r="J194" s="53"/>
      <c r="K194" s="53"/>
      <c r="L194" s="53"/>
      <c r="M194" s="53"/>
      <c r="N194" s="53"/>
      <c r="O194" s="53"/>
      <c r="P194" s="53"/>
      <c r="Q194" s="53"/>
    </row>
    <row r="195" spans="1:17">
      <c r="A195" s="50"/>
      <c r="E195" s="65">
        <v>523166</v>
      </c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</row>
    <row r="196" spans="1:17">
      <c r="A196" s="49" t="s">
        <v>15</v>
      </c>
      <c r="B196" s="48">
        <v>0.17449999999999999</v>
      </c>
      <c r="C196" s="48">
        <v>0</v>
      </c>
      <c r="D196" s="43">
        <v>1451</v>
      </c>
      <c r="E196" s="173">
        <f>G196/B196*100</f>
        <v>403381.08882521495</v>
      </c>
      <c r="F196" s="43">
        <v>26793754</v>
      </c>
      <c r="G196" s="53">
        <v>703.9</v>
      </c>
      <c r="H196" s="53">
        <v>46262.85</v>
      </c>
      <c r="I196" s="53">
        <v>0</v>
      </c>
      <c r="J196" s="53">
        <v>211.32</v>
      </c>
      <c r="K196" s="53">
        <v>1.4</v>
      </c>
      <c r="L196" s="53">
        <f>G196+H196+I196-J196+K196</f>
        <v>46756.83</v>
      </c>
      <c r="M196" s="53">
        <v>2282.29</v>
      </c>
      <c r="N196" s="53">
        <f>L196-M196</f>
        <v>44474.54</v>
      </c>
      <c r="O196" s="53">
        <v>0</v>
      </c>
      <c r="P196" s="53">
        <v>0</v>
      </c>
      <c r="Q196" s="53">
        <f>N196-O196-P196</f>
        <v>44474.54</v>
      </c>
    </row>
    <row r="197" spans="1:17">
      <c r="A197" s="47" t="s">
        <v>16</v>
      </c>
      <c r="B197" s="48">
        <f>B196</f>
        <v>0.17449999999999999</v>
      </c>
      <c r="C197" s="48">
        <f>C196</f>
        <v>0</v>
      </c>
      <c r="D197" s="43"/>
      <c r="E197" s="173"/>
      <c r="F197" s="65">
        <f>IF(E195&gt;E196,E195-E196,0)</f>
        <v>119784.91117478505</v>
      </c>
      <c r="G197" s="53">
        <f>F197*(B197-C197)/100</f>
        <v>209.0246699999999</v>
      </c>
      <c r="H197" s="53"/>
      <c r="I197" s="53">
        <f>F197*C197/100</f>
        <v>0</v>
      </c>
      <c r="J197" s="53"/>
      <c r="K197" s="53"/>
      <c r="L197" s="53">
        <f>G197+H197+I197-J197+K197</f>
        <v>209.0246699999999</v>
      </c>
      <c r="M197" s="53"/>
      <c r="N197" s="53">
        <f>L197-M197</f>
        <v>209.0246699999999</v>
      </c>
      <c r="O197" s="53"/>
      <c r="P197" s="53"/>
      <c r="Q197" s="53">
        <f>N197-O197-P197</f>
        <v>209.0246699999999</v>
      </c>
    </row>
    <row r="198" spans="1:17">
      <c r="A198" s="47" t="s">
        <v>17</v>
      </c>
      <c r="B198" s="48">
        <f>B196</f>
        <v>0.17449999999999999</v>
      </c>
      <c r="C198" s="48">
        <f>C196</f>
        <v>0</v>
      </c>
      <c r="D198" s="43"/>
      <c r="E198" s="173"/>
      <c r="F198" s="66">
        <v>348212</v>
      </c>
      <c r="G198" s="53"/>
      <c r="H198" s="53">
        <f>F198*(B198-C198)/100</f>
        <v>607.62994000000003</v>
      </c>
      <c r="I198" s="53">
        <f>F198*C198/100</f>
        <v>0</v>
      </c>
      <c r="J198" s="53">
        <v>0</v>
      </c>
      <c r="K198" s="53">
        <v>0</v>
      </c>
      <c r="L198" s="53">
        <f>G198+H198+I198-J198+K198</f>
        <v>607.62994000000003</v>
      </c>
      <c r="M198" s="53">
        <v>0</v>
      </c>
      <c r="N198" s="53">
        <f>L198-M198</f>
        <v>607.62994000000003</v>
      </c>
      <c r="O198" s="53">
        <v>0</v>
      </c>
      <c r="P198" s="53">
        <v>0</v>
      </c>
      <c r="Q198" s="53">
        <f>N198-O198-P198</f>
        <v>607.62994000000003</v>
      </c>
    </row>
    <row r="199" spans="1:17">
      <c r="A199" s="47" t="s">
        <v>18</v>
      </c>
      <c r="B199" s="48"/>
      <c r="C199" s="48"/>
      <c r="D199" s="43"/>
      <c r="E199" s="173"/>
      <c r="F199" s="4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</row>
    <row r="200" spans="1:17">
      <c r="A200" s="67" t="s">
        <v>19</v>
      </c>
      <c r="B200" s="48">
        <f>B196</f>
        <v>0.17449999999999999</v>
      </c>
      <c r="C200" s="48">
        <f>C196</f>
        <v>0</v>
      </c>
      <c r="D200" s="43"/>
      <c r="E200" s="173"/>
      <c r="F200" s="43">
        <v>12549434.77</v>
      </c>
      <c r="G200" s="53">
        <v>622.30999999999995</v>
      </c>
      <c r="H200" s="53">
        <v>21277.45</v>
      </c>
      <c r="I200" s="53">
        <v>0</v>
      </c>
      <c r="J200" s="53">
        <v>570.47</v>
      </c>
      <c r="K200" s="53">
        <v>0</v>
      </c>
      <c r="L200" s="53">
        <f>G200+H200+I200-J200+K200</f>
        <v>21329.29</v>
      </c>
      <c r="M200" s="53">
        <v>641.87</v>
      </c>
      <c r="N200" s="53">
        <f>L200-M200</f>
        <v>20687.420000000002</v>
      </c>
      <c r="O200" s="53">
        <v>0</v>
      </c>
      <c r="P200" s="53">
        <v>0</v>
      </c>
      <c r="Q200" s="53">
        <f>N200-O200-P200</f>
        <v>20687.420000000002</v>
      </c>
    </row>
    <row r="201" spans="1:17">
      <c r="A201" s="67" t="s">
        <v>20</v>
      </c>
      <c r="B201" s="48">
        <f>B196</f>
        <v>0.17449999999999999</v>
      </c>
      <c r="C201" s="48">
        <f>C196</f>
        <v>0</v>
      </c>
      <c r="D201" s="43"/>
      <c r="E201" s="173"/>
      <c r="F201" s="43">
        <v>1984934.36</v>
      </c>
      <c r="G201" s="53">
        <v>3463.71</v>
      </c>
      <c r="H201" s="53"/>
      <c r="I201" s="53">
        <v>0</v>
      </c>
      <c r="J201" s="53">
        <v>0</v>
      </c>
      <c r="K201" s="53">
        <v>0</v>
      </c>
      <c r="L201" s="53">
        <f>G201+H201+I201-J201+K201</f>
        <v>3463.71</v>
      </c>
      <c r="M201" s="53">
        <v>0</v>
      </c>
      <c r="N201" s="53">
        <f>L201-M201</f>
        <v>3463.71</v>
      </c>
      <c r="O201" s="53">
        <v>0</v>
      </c>
      <c r="P201" s="53">
        <v>0</v>
      </c>
      <c r="Q201" s="53">
        <f>N201-O201-P201</f>
        <v>3463.71</v>
      </c>
    </row>
    <row r="202" spans="1:17" ht="5.25" customHeight="1">
      <c r="A202" s="47"/>
      <c r="B202" s="48"/>
      <c r="C202" s="48"/>
      <c r="D202" s="43"/>
      <c r="E202" s="173"/>
      <c r="F202" s="4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</row>
    <row r="203" spans="1:17" s="50" customFormat="1" ht="13.5" thickBot="1">
      <c r="A203" s="60" t="str">
        <f>"TOTAL "&amp;A194</f>
        <v>TOTAL PARADISE VALLEY FIRE DISTRICT</v>
      </c>
      <c r="B203" s="68">
        <f>B196</f>
        <v>0.17449999999999999</v>
      </c>
      <c r="C203" s="68">
        <f>C196</f>
        <v>0</v>
      </c>
      <c r="D203" s="69">
        <f t="shared" ref="D203:Q203" si="41">SUM(D196:D198,D200:D201)</f>
        <v>1451</v>
      </c>
      <c r="E203" s="204"/>
      <c r="F203" s="69">
        <f t="shared" si="41"/>
        <v>41796120.041174784</v>
      </c>
      <c r="G203" s="70">
        <f t="shared" si="41"/>
        <v>4998.9446699999999</v>
      </c>
      <c r="H203" s="70">
        <f t="shared" si="41"/>
        <v>68147.929940000002</v>
      </c>
      <c r="I203" s="70">
        <f t="shared" si="41"/>
        <v>0</v>
      </c>
      <c r="J203" s="70">
        <f t="shared" si="41"/>
        <v>781.79</v>
      </c>
      <c r="K203" s="70">
        <f t="shared" si="41"/>
        <v>1.4</v>
      </c>
      <c r="L203" s="70">
        <f t="shared" si="41"/>
        <v>72366.48461</v>
      </c>
      <c r="M203" s="70">
        <f t="shared" si="41"/>
        <v>2924.16</v>
      </c>
      <c r="N203" s="70">
        <f t="shared" si="41"/>
        <v>69442.324610000011</v>
      </c>
      <c r="O203" s="70">
        <f t="shared" si="41"/>
        <v>0</v>
      </c>
      <c r="P203" s="70">
        <f t="shared" si="41"/>
        <v>0</v>
      </c>
      <c r="Q203" s="70">
        <f t="shared" si="41"/>
        <v>69442.324610000011</v>
      </c>
    </row>
    <row r="204" spans="1:17">
      <c r="A204" s="150" t="s">
        <v>355</v>
      </c>
      <c r="B204" s="48"/>
      <c r="C204" s="48"/>
      <c r="D204" s="43"/>
      <c r="E204" s="173"/>
      <c r="F204" s="64">
        <v>41469755</v>
      </c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</row>
    <row r="205" spans="1:17">
      <c r="A205" s="151" t="s">
        <v>30</v>
      </c>
      <c r="B205" s="51"/>
      <c r="C205" s="51"/>
      <c r="D205" s="52"/>
      <c r="E205" s="203"/>
      <c r="F205" s="152">
        <f>F203-F204</f>
        <v>326365.0411747843</v>
      </c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</row>
    <row r="206" spans="1:17">
      <c r="A206" s="54" t="s">
        <v>128</v>
      </c>
      <c r="B206" s="50"/>
      <c r="C206" s="50"/>
      <c r="D206" s="50"/>
      <c r="E206" s="211"/>
      <c r="F206" s="50"/>
      <c r="G206" s="64"/>
      <c r="H206" s="53"/>
      <c r="I206" s="53"/>
      <c r="J206" s="53"/>
      <c r="K206" s="53"/>
      <c r="L206" s="53"/>
      <c r="M206" s="53"/>
      <c r="N206" s="53"/>
      <c r="O206" s="53"/>
      <c r="P206" s="53"/>
      <c r="Q206" s="53"/>
    </row>
    <row r="207" spans="1:17" ht="10.5" customHeight="1">
      <c r="A207" s="50"/>
      <c r="E207" s="65">
        <v>390006</v>
      </c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</row>
    <row r="208" spans="1:17">
      <c r="A208" s="49" t="s">
        <v>15</v>
      </c>
      <c r="B208" s="48">
        <v>0.35</v>
      </c>
      <c r="C208" s="48">
        <v>0</v>
      </c>
      <c r="D208" s="43">
        <v>201</v>
      </c>
      <c r="E208" s="173">
        <f>G208/B208*100</f>
        <v>51980.000000000007</v>
      </c>
      <c r="F208" s="43">
        <v>8012527</v>
      </c>
      <c r="G208" s="53">
        <v>181.93</v>
      </c>
      <c r="H208" s="53">
        <v>27893.72</v>
      </c>
      <c r="I208" s="53">
        <v>0</v>
      </c>
      <c r="J208" s="53">
        <v>31.85</v>
      </c>
      <c r="K208" s="53">
        <v>0</v>
      </c>
      <c r="L208" s="53">
        <f>G208+H208+I208-J208+K208</f>
        <v>28043.800000000003</v>
      </c>
      <c r="M208" s="53">
        <v>1534.35</v>
      </c>
      <c r="N208" s="53">
        <f>L208-M208</f>
        <v>26509.450000000004</v>
      </c>
      <c r="O208" s="53">
        <v>0</v>
      </c>
      <c r="P208" s="53">
        <v>0</v>
      </c>
      <c r="Q208" s="53">
        <f>N208-O208-P208</f>
        <v>26509.450000000004</v>
      </c>
    </row>
    <row r="209" spans="1:17">
      <c r="A209" s="47" t="s">
        <v>16</v>
      </c>
      <c r="B209" s="48">
        <f>B208</f>
        <v>0.35</v>
      </c>
      <c r="C209" s="48">
        <f>C208</f>
        <v>0</v>
      </c>
      <c r="D209" s="43"/>
      <c r="E209" s="173"/>
      <c r="F209" s="65">
        <f>IF(E207&gt;E208,E207-E208,0)</f>
        <v>338026</v>
      </c>
      <c r="G209" s="53">
        <f>F209*(B209-C209)/100</f>
        <v>1183.0909999999999</v>
      </c>
      <c r="H209" s="53"/>
      <c r="I209" s="53">
        <f>F209*C209/100</f>
        <v>0</v>
      </c>
      <c r="J209" s="53"/>
      <c r="K209" s="53"/>
      <c r="L209" s="53">
        <f>G209+H209+I209-J209+K209</f>
        <v>1183.0909999999999</v>
      </c>
      <c r="M209" s="53"/>
      <c r="N209" s="53">
        <f>L209-M209</f>
        <v>1183.0909999999999</v>
      </c>
      <c r="O209" s="53"/>
      <c r="P209" s="53"/>
      <c r="Q209" s="53">
        <f>N209-O209-P209</f>
        <v>1183.0909999999999</v>
      </c>
    </row>
    <row r="210" spans="1:17">
      <c r="A210" s="47" t="s">
        <v>17</v>
      </c>
      <c r="B210" s="48">
        <f>B208</f>
        <v>0.35</v>
      </c>
      <c r="C210" s="48">
        <f>C208</f>
        <v>0</v>
      </c>
      <c r="D210" s="43"/>
      <c r="E210" s="173"/>
      <c r="F210" s="66">
        <v>165502</v>
      </c>
      <c r="G210" s="53"/>
      <c r="H210" s="53">
        <f>F210*(B210-C210)/100</f>
        <v>579.25699999999995</v>
      </c>
      <c r="I210" s="53">
        <f>F210*C210/100</f>
        <v>0</v>
      </c>
      <c r="J210" s="53">
        <v>0</v>
      </c>
      <c r="K210" s="53">
        <v>0</v>
      </c>
      <c r="L210" s="53">
        <f>G210+H210+I210-J210+K210</f>
        <v>579.25699999999995</v>
      </c>
      <c r="M210" s="53">
        <v>0</v>
      </c>
      <c r="N210" s="53">
        <f>L210-M210</f>
        <v>579.25699999999995</v>
      </c>
      <c r="O210" s="53">
        <v>0</v>
      </c>
      <c r="P210" s="53">
        <v>0</v>
      </c>
      <c r="Q210" s="53">
        <f>N210-O210-P210</f>
        <v>579.25699999999995</v>
      </c>
    </row>
    <row r="211" spans="1:17">
      <c r="A211" s="47" t="s">
        <v>18</v>
      </c>
      <c r="B211" s="48"/>
      <c r="C211" s="48"/>
      <c r="D211" s="43"/>
      <c r="E211" s="173"/>
      <c r="F211" s="4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</row>
    <row r="212" spans="1:17">
      <c r="A212" s="67" t="s">
        <v>19</v>
      </c>
      <c r="B212" s="48">
        <f>B208</f>
        <v>0.35</v>
      </c>
      <c r="C212" s="48">
        <f>C208</f>
        <v>0</v>
      </c>
      <c r="D212" s="43"/>
      <c r="E212" s="173"/>
      <c r="F212" s="43">
        <v>14488610.539999999</v>
      </c>
      <c r="G212" s="53">
        <v>20972.42</v>
      </c>
      <c r="H212" s="53">
        <v>29756.080000000002</v>
      </c>
      <c r="I212" s="53">
        <v>0</v>
      </c>
      <c r="J212" s="53">
        <v>5244.11</v>
      </c>
      <c r="K212" s="53">
        <v>0</v>
      </c>
      <c r="L212" s="53">
        <f>G212+H212+I212-J212+K212</f>
        <v>45484.39</v>
      </c>
      <c r="M212" s="53">
        <v>18.25</v>
      </c>
      <c r="N212" s="53">
        <f>L212-M212</f>
        <v>45466.14</v>
      </c>
      <c r="O212" s="53">
        <v>0</v>
      </c>
      <c r="P212" s="53">
        <v>0</v>
      </c>
      <c r="Q212" s="53">
        <f>N212-O212-P212</f>
        <v>45466.14</v>
      </c>
    </row>
    <row r="213" spans="1:17">
      <c r="A213" s="67" t="s">
        <v>20</v>
      </c>
      <c r="B213" s="48">
        <f>B208</f>
        <v>0.35</v>
      </c>
      <c r="C213" s="48">
        <f>C208</f>
        <v>0</v>
      </c>
      <c r="D213" s="43"/>
      <c r="E213" s="173"/>
      <c r="F213" s="43">
        <v>1358922.63</v>
      </c>
      <c r="G213" s="53">
        <v>4756.2299999999996</v>
      </c>
      <c r="H213" s="53"/>
      <c r="I213" s="53">
        <v>0</v>
      </c>
      <c r="J213" s="53">
        <v>0</v>
      </c>
      <c r="K213" s="53">
        <v>0</v>
      </c>
      <c r="L213" s="53">
        <f>G213+H213+I213-J213+K213</f>
        <v>4756.2299999999996</v>
      </c>
      <c r="M213" s="53">
        <v>0</v>
      </c>
      <c r="N213" s="53">
        <f>L213-M213</f>
        <v>4756.2299999999996</v>
      </c>
      <c r="O213" s="53">
        <v>0</v>
      </c>
      <c r="P213" s="53">
        <v>0</v>
      </c>
      <c r="Q213" s="53">
        <f>N213-O213-P213</f>
        <v>4756.2299999999996</v>
      </c>
    </row>
    <row r="214" spans="1:17">
      <c r="A214" s="47"/>
      <c r="B214" s="48"/>
      <c r="C214" s="48"/>
      <c r="D214" s="43"/>
      <c r="E214" s="173"/>
      <c r="F214" s="4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50" customFormat="1" ht="13.5" thickBot="1">
      <c r="A215" s="60" t="str">
        <f>"TOTAL "&amp;A206</f>
        <v>TOTAL PUEBLO FIRE PROTECTION DISTRICT</v>
      </c>
      <c r="B215" s="68">
        <f>B208</f>
        <v>0.35</v>
      </c>
      <c r="C215" s="68">
        <f>C208</f>
        <v>0</v>
      </c>
      <c r="D215" s="69">
        <f t="shared" ref="D215:Q215" si="42">SUM(D208:D210,D212:D213)</f>
        <v>201</v>
      </c>
      <c r="E215" s="204"/>
      <c r="F215" s="69">
        <f t="shared" si="42"/>
        <v>24363588.169999998</v>
      </c>
      <c r="G215" s="70">
        <f t="shared" si="42"/>
        <v>27093.670999999998</v>
      </c>
      <c r="H215" s="70">
        <f t="shared" si="42"/>
        <v>58229.057000000001</v>
      </c>
      <c r="I215" s="70">
        <f t="shared" si="42"/>
        <v>0</v>
      </c>
      <c r="J215" s="70">
        <f t="shared" si="42"/>
        <v>5275.96</v>
      </c>
      <c r="K215" s="70">
        <f t="shared" si="42"/>
        <v>0</v>
      </c>
      <c r="L215" s="70">
        <f t="shared" si="42"/>
        <v>80046.767999999996</v>
      </c>
      <c r="M215" s="70">
        <f t="shared" si="42"/>
        <v>1552.6</v>
      </c>
      <c r="N215" s="70">
        <f t="shared" si="42"/>
        <v>78494.168000000005</v>
      </c>
      <c r="O215" s="70">
        <f t="shared" si="42"/>
        <v>0</v>
      </c>
      <c r="P215" s="70">
        <f t="shared" si="42"/>
        <v>0</v>
      </c>
      <c r="Q215" s="70">
        <f t="shared" si="42"/>
        <v>78494.168000000005</v>
      </c>
    </row>
    <row r="216" spans="1:17">
      <c r="A216" s="150" t="s">
        <v>355</v>
      </c>
      <c r="B216" s="48"/>
      <c r="C216" s="48"/>
      <c r="D216" s="43"/>
      <c r="E216" s="173"/>
      <c r="F216" s="64">
        <v>22870510</v>
      </c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</row>
    <row r="217" spans="1:17">
      <c r="A217" s="151" t="s">
        <v>30</v>
      </c>
      <c r="B217" s="51"/>
      <c r="C217" s="51"/>
      <c r="D217" s="52"/>
      <c r="E217" s="203"/>
      <c r="F217" s="152">
        <f>F215-F216</f>
        <v>1493078.1699999981</v>
      </c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</row>
    <row r="218" spans="1:17" ht="16.5" customHeight="1">
      <c r="A218" s="54" t="s">
        <v>129</v>
      </c>
      <c r="B218" s="50"/>
      <c r="C218" s="50"/>
      <c r="D218" s="50"/>
      <c r="E218" s="211"/>
      <c r="F218" s="50"/>
      <c r="G218" s="64"/>
      <c r="H218" s="53"/>
      <c r="I218" s="53"/>
      <c r="J218" s="53"/>
      <c r="K218" s="53"/>
      <c r="L218" s="53"/>
      <c r="M218" s="53"/>
      <c r="N218" s="53"/>
      <c r="O218" s="53"/>
      <c r="P218" s="53"/>
      <c r="Q218" s="53"/>
    </row>
    <row r="219" spans="1:17" ht="19.5" customHeight="1">
      <c r="A219" s="50"/>
      <c r="E219" s="65">
        <v>4862391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</row>
    <row r="220" spans="1:17">
      <c r="A220" s="49" t="s">
        <v>15</v>
      </c>
      <c r="B220" s="48">
        <v>0.1047</v>
      </c>
      <c r="C220" s="48">
        <v>0</v>
      </c>
      <c r="D220" s="43">
        <v>3001</v>
      </c>
      <c r="E220" s="173">
        <f>G220/B220*100</f>
        <v>3347736.389684814</v>
      </c>
      <c r="F220" s="43">
        <v>137575740</v>
      </c>
      <c r="G220" s="53">
        <v>3505.08</v>
      </c>
      <c r="H220" s="53">
        <v>141141.94</v>
      </c>
      <c r="I220" s="53">
        <v>0</v>
      </c>
      <c r="J220" s="53">
        <v>605.45000000000005</v>
      </c>
      <c r="K220" s="53">
        <v>3.08</v>
      </c>
      <c r="L220" s="53">
        <f>G220+H220+I220-J220+K220</f>
        <v>144044.64999999997</v>
      </c>
      <c r="M220" s="53">
        <v>9762.18</v>
      </c>
      <c r="N220" s="53">
        <f>L220-M220</f>
        <v>134282.46999999997</v>
      </c>
      <c r="O220" s="53">
        <v>0</v>
      </c>
      <c r="P220" s="53">
        <v>0</v>
      </c>
      <c r="Q220" s="53">
        <f>N220-O220-P220</f>
        <v>134282.46999999997</v>
      </c>
    </row>
    <row r="221" spans="1:17">
      <c r="A221" s="47" t="s">
        <v>16</v>
      </c>
      <c r="B221" s="48">
        <f>B220</f>
        <v>0.1047</v>
      </c>
      <c r="C221" s="48">
        <f>C220</f>
        <v>0</v>
      </c>
      <c r="D221" s="43"/>
      <c r="E221" s="173"/>
      <c r="F221" s="65">
        <f>IF(E219&gt;E220,E219-E220,0)</f>
        <v>1514654.610315186</v>
      </c>
      <c r="G221" s="53">
        <f>F221*(B221-C221)/100</f>
        <v>1585.8433769999997</v>
      </c>
      <c r="H221" s="53"/>
      <c r="I221" s="53">
        <f>F221*C221/100</f>
        <v>0</v>
      </c>
      <c r="J221" s="53"/>
      <c r="K221" s="53"/>
      <c r="L221" s="53">
        <f>G221+H221+I221-J221+K221</f>
        <v>1585.8433769999997</v>
      </c>
      <c r="M221" s="53"/>
      <c r="N221" s="53">
        <f>L221-M221</f>
        <v>1585.8433769999997</v>
      </c>
      <c r="O221" s="53"/>
      <c r="P221" s="53"/>
      <c r="Q221" s="53">
        <f>N221-O221-P221</f>
        <v>1585.8433769999997</v>
      </c>
    </row>
    <row r="222" spans="1:17">
      <c r="A222" s="47" t="s">
        <v>17</v>
      </c>
      <c r="B222" s="48">
        <f>B220</f>
        <v>0.1047</v>
      </c>
      <c r="C222" s="48">
        <f>C220</f>
        <v>0</v>
      </c>
      <c r="D222" s="43"/>
      <c r="E222" s="173"/>
      <c r="F222" s="66">
        <v>5196912</v>
      </c>
      <c r="G222" s="53"/>
      <c r="H222" s="53">
        <f>F222*(B222-C222)/100</f>
        <v>5441.1668639999998</v>
      </c>
      <c r="I222" s="53">
        <f>F222*C222/100</f>
        <v>0</v>
      </c>
      <c r="J222" s="53">
        <v>0</v>
      </c>
      <c r="K222" s="53">
        <v>0</v>
      </c>
      <c r="L222" s="53">
        <f>G222+H222+I222-J222+K222</f>
        <v>5441.1668639999998</v>
      </c>
      <c r="M222" s="53">
        <v>0</v>
      </c>
      <c r="N222" s="53">
        <f>L222-M222</f>
        <v>5441.1668639999998</v>
      </c>
      <c r="O222" s="53">
        <v>0</v>
      </c>
      <c r="P222" s="53">
        <v>0</v>
      </c>
      <c r="Q222" s="53">
        <f>N222-O222-P222</f>
        <v>5441.1668639999998</v>
      </c>
    </row>
    <row r="223" spans="1:17">
      <c r="A223" s="47" t="s">
        <v>18</v>
      </c>
      <c r="B223" s="48"/>
      <c r="C223" s="48"/>
      <c r="D223" s="43"/>
      <c r="E223" s="173"/>
      <c r="F223" s="4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</row>
    <row r="224" spans="1:17">
      <c r="A224" s="67" t="s">
        <v>19</v>
      </c>
      <c r="B224" s="48">
        <f>B220</f>
        <v>0.1047</v>
      </c>
      <c r="C224" s="48">
        <f>C220</f>
        <v>0</v>
      </c>
      <c r="D224" s="43"/>
      <c r="E224" s="173"/>
      <c r="F224" s="43">
        <v>19163141.579999998</v>
      </c>
      <c r="G224" s="53">
        <v>347.18</v>
      </c>
      <c r="H224" s="53">
        <v>19716.98</v>
      </c>
      <c r="I224" s="53">
        <f>F224*C224/100</f>
        <v>0</v>
      </c>
      <c r="J224" s="53">
        <v>333.84</v>
      </c>
      <c r="K224" s="53">
        <v>0</v>
      </c>
      <c r="L224" s="53">
        <f>G224+H224+I224-J224+K224</f>
        <v>19730.32</v>
      </c>
      <c r="M224" s="53">
        <v>463.98</v>
      </c>
      <c r="N224" s="53">
        <f>L224-M224</f>
        <v>19266.34</v>
      </c>
      <c r="O224" s="53">
        <v>0</v>
      </c>
      <c r="P224" s="53">
        <v>0</v>
      </c>
      <c r="Q224" s="53">
        <f>N224-O224-P224</f>
        <v>19266.34</v>
      </c>
    </row>
    <row r="225" spans="1:17">
      <c r="A225" s="67" t="s">
        <v>20</v>
      </c>
      <c r="B225" s="48">
        <f>B220</f>
        <v>0.1047</v>
      </c>
      <c r="C225" s="48">
        <f>C220</f>
        <v>0</v>
      </c>
      <c r="D225" s="43"/>
      <c r="E225" s="173"/>
      <c r="F225" s="43">
        <v>1969151.02</v>
      </c>
      <c r="G225" s="53">
        <v>1989.57</v>
      </c>
      <c r="H225" s="53">
        <v>72.069999999999993</v>
      </c>
      <c r="I225" s="53">
        <v>0</v>
      </c>
      <c r="J225" s="53">
        <v>0</v>
      </c>
      <c r="K225" s="53">
        <v>0</v>
      </c>
      <c r="L225" s="53">
        <f>G225+H225+I225-J225+K225</f>
        <v>2061.64</v>
      </c>
      <c r="M225" s="53">
        <v>0.16</v>
      </c>
      <c r="N225" s="53">
        <f>L225-M225</f>
        <v>2061.48</v>
      </c>
      <c r="O225" s="53">
        <v>0</v>
      </c>
      <c r="P225" s="53">
        <v>0</v>
      </c>
      <c r="Q225" s="53">
        <f>N225-O225-P225</f>
        <v>2061.48</v>
      </c>
    </row>
    <row r="226" spans="1:17">
      <c r="A226" s="47"/>
      <c r="B226" s="48"/>
      <c r="C226" s="48"/>
      <c r="D226" s="43"/>
      <c r="E226" s="173"/>
      <c r="F226" s="4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1:17" s="50" customFormat="1" ht="13.5" thickBot="1">
      <c r="A227" s="60" t="str">
        <f>"TOTAL "&amp;A218</f>
        <v>TOTAL WINNEMUCCA RURAL FIRE PROTECTION DISTRICT</v>
      </c>
      <c r="B227" s="68">
        <f>B220</f>
        <v>0.1047</v>
      </c>
      <c r="C227" s="68">
        <f>C220</f>
        <v>0</v>
      </c>
      <c r="D227" s="69">
        <f t="shared" ref="D227:Q227" si="43">SUM(D220:D222,D224:D225)</f>
        <v>3001</v>
      </c>
      <c r="E227" s="204"/>
      <c r="F227" s="69">
        <f t="shared" si="43"/>
        <v>165419599.2103152</v>
      </c>
      <c r="G227" s="70">
        <f t="shared" si="43"/>
        <v>7427.6733769999992</v>
      </c>
      <c r="H227" s="70">
        <f t="shared" si="43"/>
        <v>166372.15686400002</v>
      </c>
      <c r="I227" s="70">
        <f t="shared" si="43"/>
        <v>0</v>
      </c>
      <c r="J227" s="70">
        <f t="shared" si="43"/>
        <v>939.29</v>
      </c>
      <c r="K227" s="70">
        <f t="shared" si="43"/>
        <v>3.08</v>
      </c>
      <c r="L227" s="70">
        <f t="shared" si="43"/>
        <v>172863.620241</v>
      </c>
      <c r="M227" s="70">
        <f t="shared" si="43"/>
        <v>10226.32</v>
      </c>
      <c r="N227" s="70">
        <f t="shared" si="43"/>
        <v>162637.30024099999</v>
      </c>
      <c r="O227" s="70">
        <f t="shared" si="43"/>
        <v>0</v>
      </c>
      <c r="P227" s="70">
        <f t="shared" si="43"/>
        <v>0</v>
      </c>
      <c r="Q227" s="70">
        <f t="shared" si="43"/>
        <v>162637.30024099999</v>
      </c>
    </row>
    <row r="228" spans="1:17">
      <c r="A228" s="150" t="s">
        <v>355</v>
      </c>
      <c r="B228" s="48"/>
      <c r="C228" s="48"/>
      <c r="D228" s="43"/>
      <c r="E228" s="173"/>
      <c r="F228" s="64">
        <v>165099236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1:17">
      <c r="A229" s="151" t="s">
        <v>30</v>
      </c>
      <c r="B229" s="51"/>
      <c r="C229" s="51"/>
      <c r="D229" s="52"/>
      <c r="E229" s="203"/>
      <c r="F229" s="152">
        <f>F227-F228</f>
        <v>320363.21031519771</v>
      </c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</row>
    <row r="232" spans="1:17" ht="15" customHeight="1">
      <c r="A232" s="83"/>
      <c r="B232" s="84"/>
      <c r="C232" s="84"/>
      <c r="D232" s="84"/>
      <c r="E232" s="210"/>
      <c r="F232" s="84"/>
      <c r="G232" s="84"/>
    </row>
    <row r="233" spans="1:17">
      <c r="A233" s="87"/>
    </row>
    <row r="234" spans="1:17">
      <c r="A234" s="50"/>
      <c r="B234" s="50"/>
      <c r="C234" s="50"/>
      <c r="D234" s="50"/>
      <c r="E234" s="211"/>
      <c r="F234" s="50"/>
      <c r="G234" s="50"/>
    </row>
    <row r="239" spans="1:17">
      <c r="A239" s="83"/>
      <c r="B239" s="84"/>
      <c r="C239" s="84"/>
      <c r="D239" s="84"/>
      <c r="E239" s="210"/>
      <c r="F239" s="84"/>
      <c r="G239" s="84"/>
    </row>
    <row r="241" spans="1:7">
      <c r="A241" s="50"/>
      <c r="B241" s="50"/>
      <c r="C241" s="50"/>
      <c r="D241" s="50"/>
      <c r="E241" s="211"/>
      <c r="F241" s="50"/>
      <c r="G241" s="50"/>
    </row>
    <row r="246" spans="1:7">
      <c r="A246" s="83"/>
      <c r="B246" s="84"/>
      <c r="C246" s="84"/>
      <c r="D246" s="84"/>
      <c r="E246" s="210"/>
      <c r="F246" s="84"/>
      <c r="G246" s="84"/>
    </row>
    <row r="248" spans="1:7">
      <c r="A248" s="50"/>
      <c r="B248" s="50"/>
      <c r="C248" s="50"/>
      <c r="D248" s="50"/>
      <c r="E248" s="211"/>
      <c r="F248" s="50"/>
      <c r="G248" s="50"/>
    </row>
    <row r="254" spans="1:7">
      <c r="A254" s="83"/>
      <c r="B254" s="85"/>
      <c r="C254" s="85"/>
      <c r="D254" s="85"/>
      <c r="E254" s="212"/>
      <c r="F254" s="85"/>
      <c r="G254" s="85"/>
    </row>
    <row r="257" spans="1:7">
      <c r="A257" s="50"/>
      <c r="B257" s="50"/>
      <c r="C257" s="50"/>
      <c r="D257" s="50"/>
      <c r="E257" s="211"/>
      <c r="F257" s="50"/>
      <c r="G257" s="50"/>
    </row>
    <row r="258" spans="1:7">
      <c r="A258" s="50"/>
    </row>
    <row r="259" spans="1:7">
      <c r="A259" s="50"/>
      <c r="B259" s="50"/>
      <c r="C259" s="50"/>
      <c r="D259" s="50"/>
      <c r="E259" s="211"/>
      <c r="F259" s="50"/>
      <c r="G259" s="50"/>
    </row>
    <row r="265" spans="1:7">
      <c r="A265" s="50"/>
      <c r="B265" s="84"/>
      <c r="C265" s="84"/>
      <c r="D265" s="84"/>
      <c r="E265" s="210"/>
      <c r="F265" s="84"/>
      <c r="G265" s="84"/>
    </row>
    <row r="267" spans="1:7">
      <c r="A267" s="50"/>
      <c r="B267" s="50"/>
      <c r="C267" s="50"/>
      <c r="D267" s="50"/>
      <c r="E267" s="211"/>
      <c r="F267" s="50"/>
      <c r="G267" s="50"/>
    </row>
    <row r="272" spans="1:7" ht="24.95" customHeight="1">
      <c r="A272" s="83"/>
      <c r="B272" s="84"/>
      <c r="C272" s="84"/>
      <c r="D272" s="84"/>
      <c r="E272" s="210"/>
      <c r="F272" s="84"/>
      <c r="G272" s="84"/>
    </row>
    <row r="274" spans="1:7">
      <c r="A274" s="50"/>
      <c r="B274" s="50"/>
      <c r="C274" s="50"/>
      <c r="D274" s="50"/>
      <c r="E274" s="211"/>
      <c r="F274" s="50"/>
      <c r="G274" s="50"/>
    </row>
    <row r="279" spans="1:7">
      <c r="A279" s="83"/>
      <c r="B279" s="84"/>
      <c r="C279" s="84"/>
      <c r="D279" s="84"/>
      <c r="E279" s="210"/>
      <c r="F279" s="84"/>
      <c r="G279" s="84"/>
    </row>
    <row r="281" spans="1:7">
      <c r="A281" s="50"/>
      <c r="B281" s="50"/>
      <c r="C281" s="50"/>
      <c r="D281" s="50"/>
      <c r="E281" s="211"/>
      <c r="F281" s="50"/>
      <c r="G281" s="50"/>
    </row>
    <row r="286" spans="1:7">
      <c r="A286" s="83"/>
      <c r="B286" s="84"/>
      <c r="C286" s="84"/>
      <c r="D286" s="84"/>
      <c r="E286" s="210"/>
      <c r="F286" s="84"/>
      <c r="G286" s="84"/>
    </row>
    <row r="288" spans="1:7">
      <c r="A288" s="50"/>
      <c r="B288" s="50"/>
      <c r="C288" s="50"/>
      <c r="D288" s="50"/>
      <c r="E288" s="211"/>
      <c r="F288" s="50"/>
      <c r="G288" s="50"/>
    </row>
    <row r="294" spans="1:7">
      <c r="A294" s="83"/>
      <c r="B294" s="85"/>
      <c r="C294" s="85"/>
      <c r="D294" s="85"/>
      <c r="E294" s="212"/>
      <c r="F294" s="85"/>
      <c r="G294" s="85"/>
    </row>
    <row r="297" spans="1:7">
      <c r="A297" s="50"/>
      <c r="B297" s="50"/>
      <c r="C297" s="50"/>
      <c r="D297" s="50"/>
      <c r="E297" s="211"/>
      <c r="F297" s="50"/>
      <c r="G297" s="50"/>
    </row>
    <row r="298" spans="1:7">
      <c r="A298" s="50"/>
    </row>
    <row r="299" spans="1:7">
      <c r="A299" s="50"/>
      <c r="B299" s="50"/>
      <c r="C299" s="50"/>
      <c r="D299" s="50"/>
      <c r="E299" s="211"/>
      <c r="F299" s="50"/>
      <c r="G299" s="50"/>
    </row>
    <row r="305" spans="1:7">
      <c r="A305" s="50"/>
      <c r="B305" s="84"/>
      <c r="C305" s="84"/>
      <c r="D305" s="84"/>
      <c r="E305" s="210"/>
      <c r="F305" s="84"/>
      <c r="G305" s="84"/>
    </row>
    <row r="307" spans="1:7">
      <c r="A307" s="50"/>
      <c r="B307" s="50"/>
      <c r="C307" s="50"/>
      <c r="D307" s="50"/>
      <c r="E307" s="211"/>
      <c r="F307" s="50"/>
      <c r="G307" s="50"/>
    </row>
    <row r="312" spans="1:7" ht="24.95" customHeight="1">
      <c r="A312" s="83"/>
      <c r="B312" s="84"/>
      <c r="C312" s="84"/>
      <c r="D312" s="84"/>
      <c r="E312" s="210"/>
      <c r="F312" s="84"/>
      <c r="G312" s="84"/>
    </row>
    <row r="314" spans="1:7">
      <c r="A314" s="50"/>
      <c r="B314" s="50"/>
      <c r="C314" s="50"/>
      <c r="D314" s="50"/>
      <c r="E314" s="211"/>
      <c r="F314" s="50"/>
      <c r="G314" s="50"/>
    </row>
    <row r="319" spans="1:7">
      <c r="A319" s="83"/>
      <c r="B319" s="84"/>
      <c r="C319" s="84"/>
      <c r="D319" s="84"/>
      <c r="E319" s="210"/>
      <c r="F319" s="84"/>
      <c r="G319" s="84"/>
    </row>
    <row r="321" spans="1:7">
      <c r="A321" s="50"/>
      <c r="B321" s="50"/>
      <c r="C321" s="50"/>
      <c r="D321" s="50"/>
      <c r="E321" s="211"/>
      <c r="F321" s="50"/>
      <c r="G321" s="50"/>
    </row>
    <row r="326" spans="1:7">
      <c r="A326" s="83"/>
      <c r="B326" s="84"/>
      <c r="C326" s="84"/>
      <c r="D326" s="84"/>
      <c r="E326" s="210"/>
      <c r="F326" s="84"/>
      <c r="G326" s="84"/>
    </row>
    <row r="328" spans="1:7">
      <c r="A328" s="50"/>
      <c r="B328" s="50"/>
      <c r="C328" s="50"/>
      <c r="D328" s="50"/>
      <c r="E328" s="211"/>
      <c r="F328" s="50"/>
      <c r="G328" s="50"/>
    </row>
    <row r="334" spans="1:7">
      <c r="A334" s="83"/>
      <c r="B334" s="85"/>
      <c r="C334" s="85"/>
      <c r="D334" s="85"/>
      <c r="E334" s="212"/>
      <c r="F334" s="85"/>
      <c r="G334" s="85"/>
    </row>
    <row r="335" spans="1:7" ht="16.5" customHeight="1"/>
    <row r="337" spans="1:7">
      <c r="A337" s="50"/>
      <c r="B337" s="50"/>
      <c r="C337" s="50"/>
      <c r="D337" s="50"/>
      <c r="E337" s="211"/>
      <c r="F337" s="50"/>
      <c r="G337" s="50"/>
    </row>
    <row r="338" spans="1:7">
      <c r="A338" s="50"/>
    </row>
    <row r="339" spans="1:7">
      <c r="A339" s="50"/>
      <c r="B339" s="50"/>
      <c r="C339" s="50"/>
      <c r="D339" s="50"/>
      <c r="E339" s="211"/>
      <c r="F339" s="50"/>
      <c r="G339" s="50"/>
    </row>
    <row r="345" spans="1:7">
      <c r="A345" s="50"/>
      <c r="B345" s="84"/>
      <c r="C345" s="84"/>
      <c r="D345" s="84"/>
      <c r="E345" s="210"/>
      <c r="F345" s="84"/>
      <c r="G345" s="84"/>
    </row>
    <row r="347" spans="1:7">
      <c r="A347" s="50"/>
      <c r="B347" s="50"/>
      <c r="C347" s="50"/>
      <c r="D347" s="50"/>
      <c r="E347" s="211"/>
      <c r="F347" s="50"/>
      <c r="G347" s="50"/>
    </row>
    <row r="352" spans="1:7" ht="24.95" customHeight="1">
      <c r="A352" s="83"/>
      <c r="B352" s="84"/>
      <c r="C352" s="84"/>
      <c r="D352" s="84"/>
      <c r="E352" s="210"/>
      <c r="F352" s="84"/>
      <c r="G352" s="84"/>
    </row>
    <row r="354" spans="1:7">
      <c r="A354" s="50"/>
      <c r="B354" s="50"/>
      <c r="C354" s="50"/>
      <c r="D354" s="50"/>
      <c r="E354" s="211"/>
      <c r="F354" s="50"/>
      <c r="G354" s="50"/>
    </row>
    <row r="359" spans="1:7">
      <c r="A359" s="83"/>
      <c r="B359" s="84"/>
      <c r="C359" s="84"/>
      <c r="D359" s="84"/>
      <c r="E359" s="210"/>
      <c r="F359" s="84"/>
      <c r="G359" s="84"/>
    </row>
    <row r="361" spans="1:7">
      <c r="A361" s="50"/>
      <c r="B361" s="50"/>
      <c r="C361" s="50"/>
      <c r="D361" s="50"/>
      <c r="E361" s="211"/>
      <c r="F361" s="50"/>
      <c r="G361" s="50"/>
    </row>
    <row r="366" spans="1:7">
      <c r="A366" s="83"/>
      <c r="B366" s="84"/>
      <c r="C366" s="84"/>
      <c r="D366" s="84"/>
      <c r="E366" s="210"/>
      <c r="F366" s="84"/>
      <c r="G366" s="84"/>
    </row>
    <row r="368" spans="1:7">
      <c r="A368" s="50"/>
      <c r="B368" s="50"/>
      <c r="C368" s="50"/>
      <c r="D368" s="50"/>
      <c r="E368" s="211"/>
      <c r="F368" s="50"/>
      <c r="G368" s="50"/>
    </row>
    <row r="374" spans="1:7">
      <c r="A374" s="83"/>
      <c r="B374" s="85"/>
      <c r="C374" s="85"/>
      <c r="D374" s="85"/>
      <c r="E374" s="212"/>
      <c r="F374" s="85"/>
      <c r="G374" s="85"/>
    </row>
    <row r="377" spans="1:7">
      <c r="A377" s="50"/>
      <c r="B377" s="50"/>
      <c r="C377" s="50"/>
      <c r="D377" s="50"/>
      <c r="E377" s="211"/>
      <c r="F377" s="50"/>
      <c r="G377" s="50"/>
    </row>
    <row r="378" spans="1:7">
      <c r="A378" s="50"/>
    </row>
    <row r="379" spans="1:7">
      <c r="A379" s="50"/>
      <c r="B379" s="50"/>
      <c r="C379" s="50"/>
      <c r="D379" s="50"/>
      <c r="E379" s="211"/>
      <c r="F379" s="50"/>
      <c r="G379" s="50"/>
    </row>
    <row r="385" spans="1:7">
      <c r="A385" s="50"/>
      <c r="B385" s="84"/>
      <c r="C385" s="84"/>
      <c r="D385" s="84"/>
      <c r="E385" s="210"/>
      <c r="F385" s="84"/>
      <c r="G385" s="84"/>
    </row>
    <row r="387" spans="1:7">
      <c r="A387" s="50"/>
      <c r="B387" s="50"/>
      <c r="C387" s="50"/>
      <c r="D387" s="50"/>
      <c r="E387" s="211"/>
      <c r="F387" s="50"/>
      <c r="G387" s="50"/>
    </row>
    <row r="392" spans="1:7" ht="24.95" customHeight="1">
      <c r="A392" s="83"/>
      <c r="B392" s="84"/>
      <c r="C392" s="84"/>
      <c r="D392" s="84"/>
      <c r="E392" s="210"/>
      <c r="F392" s="84"/>
      <c r="G392" s="84"/>
    </row>
    <row r="394" spans="1:7">
      <c r="A394" s="50"/>
      <c r="B394" s="50"/>
      <c r="C394" s="50"/>
      <c r="D394" s="50"/>
      <c r="E394" s="211"/>
      <c r="F394" s="50"/>
      <c r="G394" s="50"/>
    </row>
    <row r="399" spans="1:7">
      <c r="A399" s="83"/>
      <c r="B399" s="84"/>
      <c r="C399" s="84"/>
      <c r="D399" s="84"/>
      <c r="E399" s="210"/>
      <c r="F399" s="84"/>
      <c r="G399" s="84"/>
    </row>
    <row r="401" spans="1:7">
      <c r="A401" s="50"/>
      <c r="B401" s="50"/>
      <c r="C401" s="50"/>
      <c r="D401" s="50"/>
      <c r="E401" s="211"/>
      <c r="F401" s="50"/>
      <c r="G401" s="50"/>
    </row>
    <row r="406" spans="1:7">
      <c r="A406" s="83"/>
      <c r="B406" s="84"/>
      <c r="C406" s="84"/>
      <c r="D406" s="84"/>
      <c r="E406" s="210"/>
      <c r="F406" s="84"/>
      <c r="G406" s="84"/>
    </row>
    <row r="408" spans="1:7">
      <c r="A408" s="50"/>
      <c r="B408" s="50"/>
      <c r="C408" s="50"/>
      <c r="D408" s="50"/>
      <c r="E408" s="211"/>
      <c r="F408" s="50"/>
      <c r="G408" s="50"/>
    </row>
    <row r="414" spans="1:7">
      <c r="A414" s="83"/>
      <c r="B414" s="85"/>
      <c r="C414" s="85"/>
      <c r="D414" s="85"/>
      <c r="E414" s="212"/>
      <c r="F414" s="85"/>
      <c r="G414" s="85"/>
    </row>
    <row r="417" spans="1:7">
      <c r="A417" s="50"/>
      <c r="B417" s="50"/>
      <c r="C417" s="50"/>
      <c r="D417" s="50"/>
      <c r="E417" s="211"/>
      <c r="F417" s="50"/>
      <c r="G417" s="50"/>
    </row>
    <row r="418" spans="1:7">
      <c r="A418" s="50"/>
    </row>
    <row r="419" spans="1:7">
      <c r="A419" s="50"/>
      <c r="B419" s="50"/>
      <c r="C419" s="50"/>
      <c r="D419" s="50"/>
      <c r="E419" s="211"/>
      <c r="F419" s="50"/>
      <c r="G419" s="50"/>
    </row>
    <row r="425" spans="1:7">
      <c r="A425" s="50"/>
      <c r="B425" s="84"/>
      <c r="C425" s="84"/>
      <c r="D425" s="84"/>
      <c r="E425" s="210"/>
      <c r="F425" s="84"/>
      <c r="G425" s="84"/>
    </row>
    <row r="427" spans="1:7">
      <c r="A427" s="50"/>
      <c r="B427" s="50"/>
      <c r="C427" s="50"/>
      <c r="D427" s="50"/>
      <c r="E427" s="211"/>
      <c r="F427" s="50"/>
      <c r="G427" s="50"/>
    </row>
    <row r="432" spans="1:7" ht="24.95" customHeight="1">
      <c r="A432" s="83"/>
      <c r="B432" s="84"/>
      <c r="C432" s="84"/>
      <c r="D432" s="84"/>
      <c r="E432" s="210"/>
      <c r="F432" s="84"/>
      <c r="G432" s="84"/>
    </row>
    <row r="434" spans="1:7">
      <c r="A434" s="50"/>
      <c r="B434" s="50"/>
      <c r="C434" s="50"/>
      <c r="D434" s="50"/>
      <c r="E434" s="211"/>
      <c r="F434" s="50"/>
      <c r="G434" s="50"/>
    </row>
    <row r="439" spans="1:7">
      <c r="A439" s="83"/>
      <c r="B439" s="84"/>
      <c r="C439" s="84"/>
      <c r="D439" s="84"/>
      <c r="E439" s="210"/>
      <c r="F439" s="84"/>
      <c r="G439" s="84"/>
    </row>
    <row r="441" spans="1:7">
      <c r="A441" s="50"/>
      <c r="B441" s="50"/>
      <c r="C441" s="50"/>
      <c r="D441" s="50"/>
      <c r="E441" s="211"/>
      <c r="F441" s="50"/>
      <c r="G441" s="50"/>
    </row>
    <row r="446" spans="1:7">
      <c r="A446" s="83"/>
      <c r="B446" s="84"/>
      <c r="C446" s="84"/>
      <c r="D446" s="84"/>
      <c r="E446" s="210"/>
      <c r="F446" s="84"/>
      <c r="G446" s="84"/>
    </row>
    <row r="448" spans="1:7">
      <c r="A448" s="50"/>
      <c r="B448" s="50"/>
      <c r="C448" s="50"/>
      <c r="D448" s="50"/>
      <c r="E448" s="211"/>
      <c r="F448" s="50"/>
      <c r="G448" s="50"/>
    </row>
    <row r="454" spans="1:7">
      <c r="A454" s="83"/>
      <c r="B454" s="85"/>
      <c r="C454" s="85"/>
      <c r="D454" s="85"/>
      <c r="E454" s="212"/>
      <c r="F454" s="85"/>
      <c r="G454" s="85"/>
    </row>
    <row r="457" spans="1:7">
      <c r="A457" s="50"/>
      <c r="B457" s="50"/>
      <c r="C457" s="50"/>
      <c r="D457" s="50"/>
      <c r="E457" s="211"/>
      <c r="F457" s="50"/>
      <c r="G457" s="50"/>
    </row>
    <row r="458" spans="1:7">
      <c r="A458" s="50"/>
    </row>
    <row r="459" spans="1:7">
      <c r="A459" s="50"/>
      <c r="B459" s="50"/>
      <c r="C459" s="50"/>
      <c r="D459" s="50"/>
      <c r="E459" s="211"/>
      <c r="F459" s="50"/>
      <c r="G459" s="50"/>
    </row>
    <row r="465" spans="1:7">
      <c r="A465" s="50"/>
      <c r="B465" s="84"/>
      <c r="C465" s="84"/>
      <c r="D465" s="84"/>
      <c r="E465" s="210"/>
      <c r="F465" s="84"/>
      <c r="G465" s="84"/>
    </row>
    <row r="467" spans="1:7">
      <c r="A467" s="50"/>
      <c r="B467" s="50"/>
      <c r="C467" s="50"/>
      <c r="D467" s="50"/>
      <c r="E467" s="211"/>
      <c r="F467" s="50"/>
      <c r="G467" s="50"/>
    </row>
    <row r="472" spans="1:7" ht="24.95" customHeight="1">
      <c r="A472" s="83"/>
      <c r="B472" s="84"/>
      <c r="C472" s="84"/>
      <c r="D472" s="84"/>
      <c r="E472" s="210"/>
      <c r="F472" s="84"/>
      <c r="G472" s="84"/>
    </row>
    <row r="474" spans="1:7">
      <c r="A474" s="50"/>
      <c r="B474" s="50"/>
      <c r="C474" s="50"/>
      <c r="D474" s="50"/>
      <c r="E474" s="211"/>
      <c r="F474" s="50"/>
      <c r="G474" s="50"/>
    </row>
    <row r="479" spans="1:7">
      <c r="A479" s="83"/>
      <c r="B479" s="84"/>
      <c r="C479" s="84"/>
      <c r="D479" s="84"/>
      <c r="E479" s="210"/>
      <c r="F479" s="84"/>
      <c r="G479" s="84"/>
    </row>
    <row r="481" spans="1:7">
      <c r="A481" s="50"/>
      <c r="B481" s="50"/>
      <c r="C481" s="50"/>
      <c r="D481" s="50"/>
      <c r="E481" s="211"/>
      <c r="F481" s="50"/>
      <c r="G481" s="50"/>
    </row>
    <row r="486" spans="1:7">
      <c r="A486" s="83"/>
      <c r="B486" s="84"/>
      <c r="C486" s="84"/>
      <c r="D486" s="84"/>
      <c r="E486" s="210"/>
      <c r="F486" s="84"/>
      <c r="G486" s="84"/>
    </row>
    <row r="488" spans="1:7">
      <c r="A488" s="50"/>
      <c r="B488" s="50"/>
      <c r="C488" s="50"/>
      <c r="D488" s="50"/>
      <c r="E488" s="211"/>
      <c r="F488" s="50"/>
      <c r="G488" s="50"/>
    </row>
    <row r="494" spans="1:7">
      <c r="A494" s="83"/>
      <c r="B494" s="85"/>
      <c r="C494" s="85"/>
      <c r="D494" s="85"/>
      <c r="E494" s="212"/>
      <c r="F494" s="85"/>
      <c r="G494" s="85"/>
    </row>
    <row r="497" spans="1:7">
      <c r="A497" s="50"/>
      <c r="B497" s="50"/>
      <c r="C497" s="50"/>
      <c r="D497" s="50"/>
      <c r="E497" s="211"/>
      <c r="F497" s="50"/>
      <c r="G497" s="50"/>
    </row>
    <row r="498" spans="1:7">
      <c r="A498" s="50"/>
    </row>
    <row r="499" spans="1:7">
      <c r="A499" s="50"/>
      <c r="B499" s="50"/>
      <c r="C499" s="50"/>
      <c r="D499" s="50"/>
      <c r="E499" s="211"/>
      <c r="F499" s="50"/>
      <c r="G499" s="50"/>
    </row>
    <row r="505" spans="1:7">
      <c r="A505" s="50"/>
      <c r="B505" s="84"/>
      <c r="C505" s="84"/>
      <c r="D505" s="84"/>
      <c r="E505" s="210"/>
      <c r="F505" s="84"/>
      <c r="G505" s="84"/>
    </row>
    <row r="507" spans="1:7">
      <c r="A507" s="50"/>
      <c r="B507" s="50"/>
      <c r="C507" s="50"/>
      <c r="D507" s="50"/>
      <c r="E507" s="211"/>
      <c r="F507" s="50"/>
      <c r="G507" s="50"/>
    </row>
    <row r="512" spans="1:7" ht="24.95" customHeight="1">
      <c r="A512" s="83"/>
      <c r="B512" s="84"/>
      <c r="C512" s="84"/>
      <c r="D512" s="84"/>
      <c r="E512" s="210"/>
      <c r="F512" s="84"/>
      <c r="G512" s="84"/>
    </row>
    <row r="514" spans="1:7">
      <c r="A514" s="50"/>
      <c r="B514" s="50"/>
      <c r="C514" s="50"/>
      <c r="D514" s="50"/>
      <c r="E514" s="211"/>
      <c r="F514" s="50"/>
      <c r="G514" s="50"/>
    </row>
    <row r="519" spans="1:7">
      <c r="A519" s="83"/>
      <c r="B519" s="84"/>
      <c r="C519" s="84"/>
      <c r="D519" s="84"/>
      <c r="E519" s="210"/>
      <c r="F519" s="84"/>
      <c r="G519" s="84"/>
    </row>
    <row r="521" spans="1:7">
      <c r="A521" s="50"/>
      <c r="B521" s="50"/>
      <c r="C521" s="50"/>
      <c r="D521" s="50"/>
      <c r="E521" s="211"/>
      <c r="F521" s="50"/>
      <c r="G521" s="50"/>
    </row>
    <row r="526" spans="1:7">
      <c r="A526" s="83"/>
      <c r="B526" s="84"/>
      <c r="C526" s="84"/>
      <c r="D526" s="84"/>
      <c r="E526" s="210"/>
      <c r="F526" s="84"/>
      <c r="G526" s="84"/>
    </row>
    <row r="528" spans="1:7">
      <c r="A528" s="50"/>
      <c r="B528" s="50"/>
      <c r="C528" s="50"/>
      <c r="D528" s="50"/>
      <c r="E528" s="211"/>
      <c r="F528" s="50"/>
      <c r="G528" s="50"/>
    </row>
    <row r="534" spans="1:7">
      <c r="A534" s="83"/>
      <c r="B534" s="85"/>
      <c r="C534" s="85"/>
      <c r="D534" s="85"/>
      <c r="E534" s="212"/>
      <c r="F534" s="85"/>
      <c r="G534" s="85"/>
    </row>
    <row r="537" spans="1:7">
      <c r="A537" s="50"/>
      <c r="B537" s="50"/>
      <c r="C537" s="50"/>
      <c r="D537" s="50"/>
      <c r="E537" s="211"/>
      <c r="F537" s="50"/>
      <c r="G537" s="50"/>
    </row>
    <row r="538" spans="1:7">
      <c r="A538" s="50"/>
    </row>
    <row r="539" spans="1:7">
      <c r="A539" s="50"/>
      <c r="B539" s="50"/>
      <c r="C539" s="50"/>
      <c r="D539" s="50"/>
      <c r="E539" s="211"/>
      <c r="F539" s="50"/>
      <c r="G539" s="50"/>
    </row>
    <row r="545" spans="1:7">
      <c r="A545" s="50"/>
      <c r="B545" s="84"/>
      <c r="C545" s="84"/>
      <c r="D545" s="84"/>
      <c r="E545" s="210"/>
      <c r="F545" s="84"/>
      <c r="G545" s="84"/>
    </row>
    <row r="547" spans="1:7">
      <c r="A547" s="50"/>
      <c r="B547" s="50"/>
      <c r="C547" s="50"/>
      <c r="D547" s="50"/>
      <c r="E547" s="211"/>
      <c r="F547" s="50"/>
      <c r="G547" s="50"/>
    </row>
    <row r="552" spans="1:7" ht="24.95" customHeight="1">
      <c r="A552" s="83"/>
      <c r="B552" s="84"/>
      <c r="C552" s="84"/>
      <c r="D552" s="84"/>
      <c r="E552" s="210"/>
      <c r="F552" s="84"/>
      <c r="G552" s="84"/>
    </row>
    <row r="554" spans="1:7">
      <c r="A554" s="50"/>
      <c r="B554" s="50"/>
      <c r="C554" s="50"/>
      <c r="D554" s="50"/>
      <c r="E554" s="211"/>
      <c r="F554" s="50"/>
      <c r="G554" s="50"/>
    </row>
    <row r="559" spans="1:7">
      <c r="A559" s="83"/>
      <c r="B559" s="84"/>
      <c r="C559" s="84"/>
      <c r="D559" s="84"/>
      <c r="E559" s="210"/>
      <c r="F559" s="84"/>
      <c r="G559" s="84"/>
    </row>
    <row r="561" spans="1:7">
      <c r="A561" s="50"/>
      <c r="B561" s="50"/>
      <c r="C561" s="50"/>
      <c r="D561" s="50"/>
      <c r="E561" s="211"/>
      <c r="F561" s="50"/>
      <c r="G561" s="50"/>
    </row>
    <row r="566" spans="1:7">
      <c r="A566" s="83"/>
      <c r="B566" s="84"/>
      <c r="C566" s="84"/>
      <c r="D566" s="84"/>
      <c r="E566" s="210"/>
      <c r="F566" s="84"/>
      <c r="G566" s="84"/>
    </row>
    <row r="568" spans="1:7">
      <c r="A568" s="50"/>
      <c r="B568" s="50"/>
      <c r="C568" s="50"/>
      <c r="D568" s="50"/>
      <c r="E568" s="211"/>
      <c r="F568" s="50"/>
      <c r="G568" s="50"/>
    </row>
    <row r="574" spans="1:7">
      <c r="A574" s="83"/>
      <c r="B574" s="85"/>
      <c r="C574" s="85"/>
      <c r="D574" s="85"/>
      <c r="E574" s="212"/>
      <c r="F574" s="85"/>
      <c r="G574" s="85"/>
    </row>
    <row r="577" spans="1:7">
      <c r="A577" s="50"/>
      <c r="B577" s="50"/>
      <c r="C577" s="50"/>
      <c r="D577" s="50"/>
      <c r="E577" s="211"/>
      <c r="F577" s="50"/>
      <c r="G577" s="50"/>
    </row>
    <row r="578" spans="1:7">
      <c r="A578" s="50"/>
    </row>
    <row r="579" spans="1:7">
      <c r="A579" s="50"/>
      <c r="B579" s="50"/>
      <c r="C579" s="50"/>
      <c r="D579" s="50"/>
      <c r="E579" s="211"/>
      <c r="F579" s="50"/>
      <c r="G579" s="50"/>
    </row>
    <row r="585" spans="1:7">
      <c r="A585" s="50"/>
      <c r="B585" s="84"/>
      <c r="C585" s="84"/>
      <c r="D585" s="84"/>
      <c r="E585" s="210"/>
      <c r="F585" s="84"/>
      <c r="G585" s="84"/>
    </row>
    <row r="587" spans="1:7">
      <c r="A587" s="50"/>
      <c r="B587" s="50"/>
      <c r="C587" s="50"/>
      <c r="D587" s="50"/>
      <c r="E587" s="211"/>
      <c r="F587" s="50"/>
      <c r="G587" s="50"/>
    </row>
    <row r="592" spans="1:7" ht="24.95" customHeight="1">
      <c r="A592" s="83"/>
      <c r="B592" s="84"/>
      <c r="C592" s="84"/>
      <c r="D592" s="84"/>
      <c r="E592" s="210"/>
      <c r="F592" s="84"/>
      <c r="G592" s="84"/>
    </row>
    <row r="594" spans="1:7">
      <c r="A594" s="50"/>
      <c r="B594" s="50"/>
      <c r="C594" s="50"/>
      <c r="D594" s="50"/>
      <c r="E594" s="211"/>
      <c r="F594" s="50"/>
      <c r="G594" s="50"/>
    </row>
    <row r="599" spans="1:7">
      <c r="A599" s="83"/>
      <c r="B599" s="84"/>
      <c r="C599" s="84"/>
      <c r="D599" s="84"/>
      <c r="E599" s="210"/>
      <c r="F599" s="84"/>
      <c r="G599" s="84"/>
    </row>
    <row r="601" spans="1:7">
      <c r="A601" s="50"/>
      <c r="B601" s="50"/>
      <c r="C601" s="50"/>
      <c r="D601" s="50"/>
      <c r="E601" s="211"/>
      <c r="F601" s="50"/>
      <c r="G601" s="50"/>
    </row>
    <row r="606" spans="1:7">
      <c r="A606" s="83"/>
      <c r="B606" s="84"/>
      <c r="C606" s="84"/>
      <c r="D606" s="84"/>
      <c r="E606" s="210"/>
      <c r="F606" s="84"/>
      <c r="G606" s="84"/>
    </row>
    <row r="608" spans="1:7">
      <c r="A608" s="50"/>
      <c r="B608" s="50"/>
      <c r="C608" s="50"/>
      <c r="D608" s="50"/>
      <c r="E608" s="211"/>
      <c r="F608" s="50"/>
      <c r="G608" s="50"/>
    </row>
    <row r="614" spans="1:7">
      <c r="A614" s="83"/>
      <c r="B614" s="85"/>
      <c r="C614" s="85"/>
      <c r="D614" s="85"/>
      <c r="E614" s="212"/>
      <c r="F614" s="85"/>
      <c r="G614" s="85"/>
    </row>
    <row r="616" spans="1:7">
      <c r="A616" s="50"/>
    </row>
    <row r="617" spans="1:7">
      <c r="A617" s="50"/>
      <c r="B617" s="50"/>
      <c r="C617" s="50"/>
      <c r="D617" s="50"/>
      <c r="E617" s="211"/>
      <c r="F617" s="50"/>
      <c r="G617" s="50"/>
    </row>
    <row r="618" spans="1:7">
      <c r="A618" s="50"/>
    </row>
    <row r="619" spans="1:7">
      <c r="A619" s="50"/>
      <c r="B619" s="50"/>
      <c r="C619" s="50"/>
      <c r="D619" s="50"/>
      <c r="E619" s="211"/>
      <c r="F619" s="50"/>
      <c r="G619" s="50"/>
    </row>
    <row r="625" spans="1:7">
      <c r="A625" s="50"/>
      <c r="B625" s="84"/>
      <c r="C625" s="84"/>
      <c r="D625" s="84"/>
      <c r="E625" s="210"/>
      <c r="F625" s="84"/>
      <c r="G625" s="84"/>
    </row>
    <row r="627" spans="1:7">
      <c r="A627" s="50"/>
      <c r="B627" s="50"/>
      <c r="C627" s="50"/>
      <c r="D627" s="50"/>
      <c r="E627" s="211"/>
      <c r="F627" s="50"/>
      <c r="G627" s="50"/>
    </row>
    <row r="632" spans="1:7" ht="24.95" customHeight="1">
      <c r="A632" s="83"/>
      <c r="B632" s="84"/>
      <c r="C632" s="84"/>
      <c r="D632" s="84"/>
      <c r="E632" s="210"/>
      <c r="F632" s="84"/>
      <c r="G632" s="84"/>
    </row>
    <row r="634" spans="1:7">
      <c r="A634" s="50"/>
      <c r="B634" s="50"/>
      <c r="C634" s="50"/>
      <c r="D634" s="50"/>
      <c r="E634" s="211"/>
      <c r="F634" s="50"/>
      <c r="G634" s="50"/>
    </row>
    <row r="639" spans="1:7">
      <c r="A639" s="83"/>
      <c r="B639" s="84"/>
      <c r="C639" s="84"/>
      <c r="D639" s="84"/>
      <c r="E639" s="210"/>
      <c r="F639" s="84"/>
      <c r="G639" s="84"/>
    </row>
    <row r="641" spans="1:7">
      <c r="A641" s="50"/>
      <c r="B641" s="50"/>
      <c r="C641" s="50"/>
      <c r="D641" s="50"/>
      <c r="E641" s="211"/>
      <c r="F641" s="50"/>
      <c r="G641" s="50"/>
    </row>
    <row r="646" spans="1:7">
      <c r="A646" s="83"/>
      <c r="B646" s="84"/>
      <c r="C646" s="84"/>
      <c r="D646" s="84"/>
      <c r="E646" s="210"/>
      <c r="F646" s="84"/>
      <c r="G646" s="84"/>
    </row>
    <row r="648" spans="1:7">
      <c r="A648" s="50"/>
      <c r="B648" s="50"/>
      <c r="C648" s="50"/>
      <c r="D648" s="50"/>
      <c r="E648" s="211"/>
      <c r="F648" s="50"/>
      <c r="G648" s="50"/>
    </row>
    <row r="654" spans="1:7">
      <c r="A654" s="83"/>
      <c r="B654" s="85"/>
      <c r="C654" s="85"/>
      <c r="D654" s="85"/>
      <c r="E654" s="212"/>
      <c r="F654" s="85"/>
      <c r="G654" s="85"/>
    </row>
    <row r="657" spans="1:1">
      <c r="A657" s="50"/>
    </row>
    <row r="658" spans="1:1">
      <c r="A658" s="50"/>
    </row>
    <row r="659" spans="1:1">
      <c r="A659" s="50"/>
    </row>
    <row r="660" spans="1:1">
      <c r="A660" s="50"/>
    </row>
  </sheetData>
  <customSheetViews>
    <customSheetView guid="{AE6F0488-1842-4C89-B05F-A836B633FB8F}" scale="75" showPageBreaks="1" hiddenColumns="1" showRuler="0">
      <pane xSplit="1" ySplit="3" topLeftCell="F22" activePane="bottomRight" state="frozen"/>
      <selection pane="bottomRight" activeCell="F34" sqref="F34"/>
      <rowBreaks count="6" manualBreakCount="6">
        <brk id="50" max="16" man="1"/>
        <brk id="51" max="15" man="1"/>
        <brk id="96" max="16" man="1"/>
        <brk id="97" max="15" man="1"/>
        <brk id="145" max="15" man="1"/>
        <brk id="193" max="15" man="1"/>
      </rowBreaks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C4" sqref="C4"/>
      <rowBreaks count="7" manualBreakCount="7">
        <brk id="50" max="16" man="1"/>
        <brk id="51" max="15" man="1"/>
        <brk id="97" max="15" man="1"/>
        <brk id="145" max="15" man="1"/>
        <brk id="193" max="15" man="1"/>
        <brk id="247" max="16383" man="1"/>
        <brk id="300" max="16383" man="1"/>
      </rowBreaks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H10" activePane="bottomRight" state="frozen"/>
      <selection pane="bottomRight" activeCell="M220" sqref="M220"/>
      <rowBreaks count="5" manualBreakCount="5">
        <brk id="50" max="16" man="1"/>
        <brk id="51" max="15" man="1"/>
        <brk id="97" max="15" man="1"/>
        <brk id="145" max="15" man="1"/>
        <brk id="193" max="15" man="1"/>
      </rowBreaks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9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5" manualBreakCount="5">
    <brk id="36" max="16" man="1"/>
    <brk id="71" max="16" man="1"/>
    <brk id="121" max="16" man="1"/>
    <brk id="169" max="16" man="1"/>
    <brk id="205" max="16" man="1"/>
  </rowBreaks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7" tint="0.79998168889431442"/>
    <pageSetUpPr fitToPage="1"/>
  </sheetPr>
  <dimension ref="A1:Y849"/>
  <sheetViews>
    <sheetView view="pageBreakPreview" zoomScale="84" zoomScaleNormal="75" zoomScaleSheetLayoutView="84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P69" sqref="P69"/>
    </sheetView>
  </sheetViews>
  <sheetFormatPr defaultColWidth="9.140625" defaultRowHeight="12.75"/>
  <cols>
    <col min="1" max="1" width="31" style="49" customWidth="1"/>
    <col min="2" max="2" width="14" style="82" customWidth="1"/>
    <col min="3" max="3" width="10.140625" style="82" customWidth="1"/>
    <col min="4" max="4" width="11.28515625" style="82" customWidth="1"/>
    <col min="5" max="5" width="13.7109375" style="209" hidden="1" customWidth="1"/>
    <col min="6" max="6" width="17.28515625" style="82" customWidth="1"/>
    <col min="7" max="7" width="17.42578125" style="82" customWidth="1"/>
    <col min="8" max="8" width="19" style="49" bestFit="1" customWidth="1"/>
    <col min="9" max="9" width="19.5703125" style="49" customWidth="1"/>
    <col min="10" max="10" width="17" style="49" customWidth="1"/>
    <col min="11" max="11" width="15.7109375" style="49" customWidth="1"/>
    <col min="12" max="12" width="18.5703125" style="49" customWidth="1"/>
    <col min="13" max="13" width="15.7109375" style="49" customWidth="1"/>
    <col min="14" max="14" width="20.140625" style="49" customWidth="1"/>
    <col min="15" max="15" width="15.7109375" style="49" customWidth="1"/>
    <col min="16" max="16" width="16.85546875" style="49" customWidth="1"/>
    <col min="17" max="17" width="20.140625" style="49" customWidth="1"/>
    <col min="18" max="18" width="4.140625" style="49" customWidth="1"/>
    <col min="19" max="19" width="12.5703125" style="49" customWidth="1"/>
    <col min="20" max="20" width="14" style="49" customWidth="1"/>
    <col min="21" max="21" width="17.85546875" style="49" customWidth="1"/>
    <col min="22" max="22" width="15" style="49" customWidth="1"/>
    <col min="23" max="24" width="17" style="49" customWidth="1"/>
    <col min="25" max="16384" width="9.140625" style="49"/>
  </cols>
  <sheetData>
    <row r="1" spans="1:25" ht="15.75" customHeight="1">
      <c r="A1" s="1" t="s">
        <v>140</v>
      </c>
      <c r="B1" s="542" t="s">
        <v>571</v>
      </c>
      <c r="C1" s="475"/>
      <c r="D1" s="399"/>
      <c r="E1" s="399"/>
      <c r="F1" s="399"/>
      <c r="G1" s="399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ht="15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/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94.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43"/>
      <c r="C4" s="51"/>
      <c r="D4" s="52"/>
      <c r="E4" s="203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25">
      <c r="A5" s="54" t="s">
        <v>10</v>
      </c>
      <c r="B5" s="51"/>
      <c r="C5" s="51"/>
      <c r="D5" s="52"/>
      <c r="E5" s="203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5">
      <c r="A6" s="50"/>
      <c r="B6" s="51"/>
      <c r="C6" s="51"/>
      <c r="D6" s="52"/>
      <c r="E6" s="203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5">
      <c r="A7" s="47" t="str">
        <f>A18</f>
        <v>STATE OF NEVADA</v>
      </c>
      <c r="B7" s="48">
        <f t="shared" ref="B7:Q7" si="0">B27</f>
        <v>0.17</v>
      </c>
      <c r="C7" s="48">
        <f t="shared" si="0"/>
        <v>0</v>
      </c>
      <c r="D7" s="43">
        <f t="shared" si="0"/>
        <v>6774</v>
      </c>
      <c r="E7" s="173"/>
      <c r="F7" s="43">
        <f t="shared" si="0"/>
        <v>830269701.19411778</v>
      </c>
      <c r="G7" s="53">
        <f t="shared" si="0"/>
        <v>172761.0913</v>
      </c>
      <c r="H7" s="53">
        <f t="shared" si="0"/>
        <v>1339213.2122000002</v>
      </c>
      <c r="I7" s="53">
        <f t="shared" si="0"/>
        <v>0</v>
      </c>
      <c r="J7" s="53">
        <f t="shared" si="0"/>
        <v>100516.83</v>
      </c>
      <c r="K7" s="53">
        <f t="shared" si="0"/>
        <v>4.7</v>
      </c>
      <c r="L7" s="53">
        <f t="shared" si="0"/>
        <v>1411462.1735</v>
      </c>
      <c r="M7" s="53">
        <f t="shared" si="0"/>
        <v>33575.67</v>
      </c>
      <c r="N7" s="53">
        <f t="shared" si="0"/>
        <v>1377886.5035000003</v>
      </c>
      <c r="O7" s="53">
        <f t="shared" si="0"/>
        <v>0</v>
      </c>
      <c r="P7" s="53">
        <f>P27</f>
        <v>88134.49</v>
      </c>
      <c r="Q7" s="53">
        <f t="shared" si="0"/>
        <v>1289752.0135000004</v>
      </c>
      <c r="W7" s="174" t="s">
        <v>15</v>
      </c>
      <c r="X7" s="284">
        <f>Q20+Q46+Q65+Q91+Q105+Q117+Q129+Q141</f>
        <v>8615764.0800000001</v>
      </c>
      <c r="Y7" s="390"/>
    </row>
    <row r="8" spans="1:25">
      <c r="A8" s="49" t="str">
        <f>A30</f>
        <v>GENERAL COUNTY</v>
      </c>
      <c r="B8" s="48">
        <f t="shared" ref="B8:Q8" si="1">B53</f>
        <v>1.9242999999999999</v>
      </c>
      <c r="C8" s="48">
        <f t="shared" si="1"/>
        <v>0</v>
      </c>
      <c r="D8" s="43">
        <f t="shared" si="1"/>
        <v>6774</v>
      </c>
      <c r="E8" s="173"/>
      <c r="F8" s="43">
        <f t="shared" si="1"/>
        <v>830269753.29281831</v>
      </c>
      <c r="G8" s="53">
        <f t="shared" si="1"/>
        <v>1955554.7780269999</v>
      </c>
      <c r="H8" s="53">
        <f t="shared" si="1"/>
        <v>15159120.653938001</v>
      </c>
      <c r="I8" s="53">
        <f t="shared" si="1"/>
        <v>0</v>
      </c>
      <c r="J8" s="53">
        <f t="shared" si="1"/>
        <v>1137792.22</v>
      </c>
      <c r="K8" s="53">
        <f t="shared" si="1"/>
        <v>53.259999999999991</v>
      </c>
      <c r="L8" s="53">
        <f t="shared" si="1"/>
        <v>15976936.471965</v>
      </c>
      <c r="M8" s="53">
        <f t="shared" si="1"/>
        <v>380034.76000000007</v>
      </c>
      <c r="N8" s="53">
        <f t="shared" si="1"/>
        <v>15596901.711965</v>
      </c>
      <c r="O8" s="53">
        <f t="shared" si="1"/>
        <v>0</v>
      </c>
      <c r="P8" s="53">
        <f>P53</f>
        <v>1360349.41</v>
      </c>
      <c r="Q8" s="53">
        <f t="shared" si="1"/>
        <v>14236552.301965002</v>
      </c>
      <c r="W8" s="171" t="s">
        <v>16</v>
      </c>
      <c r="X8" s="284">
        <f>N21+Q47+Q66+Q94+Q106+Q118+Q130+Q142</f>
        <v>2599179.1838819999</v>
      </c>
    </row>
    <row r="9" spans="1:25">
      <c r="A9" s="47" t="str">
        <f>A63</f>
        <v>SCHOOL DISTRICT</v>
      </c>
      <c r="B9" s="48">
        <f t="shared" ref="B9:Q9" si="2">B86</f>
        <v>0.75</v>
      </c>
      <c r="C9" s="48">
        <f t="shared" si="2"/>
        <v>0</v>
      </c>
      <c r="D9" s="43">
        <f t="shared" si="2"/>
        <v>6774</v>
      </c>
      <c r="E9" s="173"/>
      <c r="F9" s="43">
        <f t="shared" si="2"/>
        <v>830269757.9000001</v>
      </c>
      <c r="G9" s="53">
        <f t="shared" si="2"/>
        <v>762181.5675</v>
      </c>
      <c r="H9" s="53">
        <f t="shared" si="2"/>
        <v>5908300.5649999995</v>
      </c>
      <c r="I9" s="53">
        <f t="shared" si="2"/>
        <v>0</v>
      </c>
      <c r="J9" s="53">
        <f t="shared" si="2"/>
        <v>443457.07</v>
      </c>
      <c r="K9" s="53">
        <f t="shared" si="2"/>
        <v>20.76</v>
      </c>
      <c r="L9" s="53">
        <f t="shared" si="2"/>
        <v>6227045.8224999998</v>
      </c>
      <c r="M9" s="53">
        <f t="shared" si="2"/>
        <v>148119.22</v>
      </c>
      <c r="N9" s="53">
        <f t="shared" si="2"/>
        <v>6078926.6025</v>
      </c>
      <c r="O9" s="53">
        <f t="shared" si="2"/>
        <v>0</v>
      </c>
      <c r="P9" s="53">
        <f>P86</f>
        <v>56100</v>
      </c>
      <c r="Q9" s="53">
        <f t="shared" si="2"/>
        <v>6022826.6025</v>
      </c>
      <c r="W9" s="171" t="s">
        <v>17</v>
      </c>
      <c r="X9" s="284">
        <f>Q22+Q48+Q67+Q95+Q107+Q119+Q131+Q143</f>
        <v>13073888.709669998</v>
      </c>
    </row>
    <row r="10" spans="1:25">
      <c r="A10" s="49" t="str">
        <f>A89</f>
        <v>AUSTIN TOWN</v>
      </c>
      <c r="B10" s="48">
        <f t="shared" ref="B10:Q10" si="3">B100</f>
        <v>0.28899999999999998</v>
      </c>
      <c r="C10" s="48">
        <f t="shared" si="3"/>
        <v>0</v>
      </c>
      <c r="D10" s="43">
        <f t="shared" si="3"/>
        <v>514</v>
      </c>
      <c r="E10" s="173"/>
      <c r="F10" s="43">
        <f t="shared" si="3"/>
        <v>6146948.9759169538</v>
      </c>
      <c r="G10" s="53">
        <f t="shared" si="3"/>
        <v>913.35146999999995</v>
      </c>
      <c r="H10" s="53">
        <f t="shared" si="3"/>
        <v>16916.031469999998</v>
      </c>
      <c r="I10" s="53">
        <f t="shared" si="3"/>
        <v>0</v>
      </c>
      <c r="J10" s="53">
        <f t="shared" si="3"/>
        <v>113.63999999999999</v>
      </c>
      <c r="K10" s="53">
        <f t="shared" si="3"/>
        <v>0</v>
      </c>
      <c r="L10" s="53">
        <f t="shared" si="3"/>
        <v>17715.742939999996</v>
      </c>
      <c r="M10" s="53">
        <f t="shared" si="3"/>
        <v>664.52</v>
      </c>
      <c r="N10" s="53">
        <f t="shared" si="3"/>
        <v>17051.22294</v>
      </c>
      <c r="O10" s="53">
        <f t="shared" si="3"/>
        <v>0</v>
      </c>
      <c r="P10" s="53">
        <f>P100</f>
        <v>0</v>
      </c>
      <c r="Q10" s="53">
        <f t="shared" si="3"/>
        <v>17051.22294</v>
      </c>
      <c r="S10" s="53">
        <f>SUM(L10:L12)</f>
        <v>75838.077791999996</v>
      </c>
      <c r="T10" s="53">
        <f>SUM(Q10:Q12)</f>
        <v>71282.587792000006</v>
      </c>
      <c r="W10" s="171" t="s">
        <v>18</v>
      </c>
      <c r="X10" s="284"/>
    </row>
    <row r="11" spans="1:25">
      <c r="A11" s="49" t="str">
        <f>A103</f>
        <v>BATTLE MOUNTAIN TOWN</v>
      </c>
      <c r="B11" s="48">
        <f t="shared" ref="B11:Q11" si="4">B112</f>
        <v>0.05</v>
      </c>
      <c r="C11" s="48">
        <f t="shared" si="4"/>
        <v>0</v>
      </c>
      <c r="D11" s="43">
        <f t="shared" si="4"/>
        <v>1315</v>
      </c>
      <c r="E11" s="173"/>
      <c r="F11" s="43">
        <f t="shared" si="4"/>
        <v>72048935.459999993</v>
      </c>
      <c r="G11" s="53">
        <f t="shared" si="4"/>
        <v>1364.8505</v>
      </c>
      <c r="H11" s="53">
        <f t="shared" si="4"/>
        <v>34854.404000000002</v>
      </c>
      <c r="I11" s="53">
        <f t="shared" si="4"/>
        <v>0</v>
      </c>
      <c r="J11" s="53">
        <f t="shared" si="4"/>
        <v>256.95</v>
      </c>
      <c r="K11" s="53">
        <f t="shared" si="4"/>
        <v>0</v>
      </c>
      <c r="L11" s="53">
        <f t="shared" si="4"/>
        <v>35962.304500000006</v>
      </c>
      <c r="M11" s="53">
        <f t="shared" si="4"/>
        <v>2873.32</v>
      </c>
      <c r="N11" s="53">
        <f t="shared" si="4"/>
        <v>33088.984499999999</v>
      </c>
      <c r="O11" s="53">
        <f t="shared" si="4"/>
        <v>0</v>
      </c>
      <c r="P11" s="53">
        <f>P112</f>
        <v>0</v>
      </c>
      <c r="Q11" s="53">
        <f t="shared" si="4"/>
        <v>33088.984499999999</v>
      </c>
      <c r="W11" s="285" t="s">
        <v>19</v>
      </c>
      <c r="X11" s="284">
        <f>Q24+Q50+Q69+Q97+Q109+Q121+Q133+Q145</f>
        <v>1068714.4099999999</v>
      </c>
      <c r="Y11" s="390"/>
    </row>
    <row r="12" spans="1:25">
      <c r="A12" s="47" t="str">
        <f>A115</f>
        <v>KINGSTON TOWN</v>
      </c>
      <c r="B12" s="48">
        <f t="shared" ref="B12:Q12" si="5">B124</f>
        <v>0.30480000000000002</v>
      </c>
      <c r="C12" s="48">
        <f t="shared" si="5"/>
        <v>0</v>
      </c>
      <c r="D12" s="43">
        <f t="shared" si="5"/>
        <v>811</v>
      </c>
      <c r="E12" s="173"/>
      <c r="F12" s="43">
        <f t="shared" si="5"/>
        <v>7294386.112257218</v>
      </c>
      <c r="G12" s="53">
        <f t="shared" si="5"/>
        <v>866.76018399999998</v>
      </c>
      <c r="H12" s="53">
        <f t="shared" si="5"/>
        <v>21558.240168</v>
      </c>
      <c r="I12" s="53">
        <f t="shared" si="5"/>
        <v>0</v>
      </c>
      <c r="J12" s="53">
        <f t="shared" si="5"/>
        <v>264.97000000000003</v>
      </c>
      <c r="K12" s="53">
        <f t="shared" si="5"/>
        <v>0</v>
      </c>
      <c r="L12" s="53">
        <f t="shared" si="5"/>
        <v>22160.030352000002</v>
      </c>
      <c r="M12" s="53">
        <f t="shared" si="5"/>
        <v>1017.65</v>
      </c>
      <c r="N12" s="53">
        <f t="shared" si="5"/>
        <v>21142.380352000004</v>
      </c>
      <c r="O12" s="53">
        <f t="shared" si="5"/>
        <v>0</v>
      </c>
      <c r="P12" s="53">
        <f>P124</f>
        <v>0</v>
      </c>
      <c r="Q12" s="53">
        <f t="shared" si="5"/>
        <v>21142.380352000004</v>
      </c>
      <c r="W12" s="285" t="s">
        <v>20</v>
      </c>
      <c r="X12" s="284">
        <f>Q25+Q51+Q70+Q98+Q110+Q122+Q134+Q146</f>
        <v>362465.75000000006</v>
      </c>
      <c r="Y12" s="390"/>
    </row>
    <row r="13" spans="1:25">
      <c r="A13" s="47" t="str">
        <f>A127</f>
        <v>LANDER CO HOSPITAL DISTRICT</v>
      </c>
      <c r="B13" s="48">
        <f t="shared" ref="B13:Q13" si="6">B136</f>
        <v>0.51090000000000002</v>
      </c>
      <c r="C13" s="48">
        <f t="shared" si="6"/>
        <v>0</v>
      </c>
      <c r="D13" s="43">
        <f t="shared" si="6"/>
        <v>6774</v>
      </c>
      <c r="E13" s="173"/>
      <c r="F13" s="43">
        <f t="shared" si="6"/>
        <v>832632406.37689376</v>
      </c>
      <c r="G13" s="53">
        <f t="shared" si="6"/>
        <v>519198.13490099995</v>
      </c>
      <c r="H13" s="53">
        <f t="shared" si="6"/>
        <v>4024732.2028939999</v>
      </c>
      <c r="I13" s="53">
        <f t="shared" si="6"/>
        <v>0</v>
      </c>
      <c r="J13" s="53">
        <f t="shared" si="6"/>
        <v>302083.12</v>
      </c>
      <c r="K13" s="53">
        <f t="shared" si="6"/>
        <v>14.14</v>
      </c>
      <c r="L13" s="53">
        <f t="shared" si="6"/>
        <v>4241861.3577950001</v>
      </c>
      <c r="M13" s="53">
        <f t="shared" si="6"/>
        <v>100899.56</v>
      </c>
      <c r="N13" s="53">
        <f t="shared" si="6"/>
        <v>4140961.7977949996</v>
      </c>
      <c r="O13" s="53">
        <f t="shared" si="6"/>
        <v>0</v>
      </c>
      <c r="P13" s="53">
        <f>P136</f>
        <v>38200</v>
      </c>
      <c r="Q13" s="53">
        <f t="shared" si="6"/>
        <v>4102761.7977949996</v>
      </c>
      <c r="W13" s="174"/>
      <c r="X13" s="284"/>
    </row>
    <row r="14" spans="1:25">
      <c r="A14" s="57"/>
      <c r="B14" s="51"/>
      <c r="C14" s="51"/>
      <c r="D14" s="52"/>
      <c r="E14" s="203"/>
      <c r="F14" s="52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X14" s="284">
        <f>Q27+Q53+Q72+Q100+Q112+Q124+Q136+Q148</f>
        <v>25723175.303552002</v>
      </c>
    </row>
    <row r="15" spans="1:25" ht="13.5" thickBot="1">
      <c r="A15" s="57" t="s">
        <v>14</v>
      </c>
      <c r="B15" s="51"/>
      <c r="C15" s="51"/>
      <c r="D15" s="69">
        <f>D7</f>
        <v>6774</v>
      </c>
      <c r="E15" s="204"/>
      <c r="F15" s="69">
        <f>F7</f>
        <v>830269701.19411778</v>
      </c>
      <c r="G15" s="70">
        <f t="shared" ref="G15:Q15" si="7">SUM(G7:G14)</f>
        <v>3412840.5338819996</v>
      </c>
      <c r="H15" s="70">
        <f t="shared" si="7"/>
        <v>26504695.309670001</v>
      </c>
      <c r="I15" s="70">
        <f t="shared" si="7"/>
        <v>0</v>
      </c>
      <c r="J15" s="70">
        <f t="shared" si="7"/>
        <v>1984484.7999999998</v>
      </c>
      <c r="K15" s="70">
        <f t="shared" si="7"/>
        <v>92.86</v>
      </c>
      <c r="L15" s="70">
        <f t="shared" si="7"/>
        <v>27933143.903551999</v>
      </c>
      <c r="M15" s="70">
        <f t="shared" si="7"/>
        <v>667184.69999999995</v>
      </c>
      <c r="N15" s="70">
        <f t="shared" si="7"/>
        <v>27265959.203552</v>
      </c>
      <c r="O15" s="70">
        <f t="shared" si="7"/>
        <v>0</v>
      </c>
      <c r="P15" s="70">
        <f t="shared" si="7"/>
        <v>1542783.9</v>
      </c>
      <c r="Q15" s="70">
        <f t="shared" si="7"/>
        <v>25723175.303552002</v>
      </c>
    </row>
    <row r="16" spans="1:25" ht="13.5" thickBot="1">
      <c r="A16" s="60"/>
      <c r="B16" s="61"/>
      <c r="C16" s="61"/>
      <c r="D16" s="62"/>
      <c r="E16" s="215"/>
      <c r="F16" s="62"/>
      <c r="G16" s="63"/>
      <c r="H16" s="63"/>
      <c r="I16" s="63"/>
      <c r="J16" s="63"/>
      <c r="K16" s="63"/>
      <c r="L16" s="279" t="s">
        <v>388</v>
      </c>
      <c r="M16" s="280">
        <f>M15/L15</f>
        <v>2.3885055771153647E-2</v>
      </c>
      <c r="N16" s="63"/>
      <c r="O16" s="63"/>
      <c r="P16" s="63"/>
      <c r="Q16" s="63"/>
    </row>
    <row r="17" spans="1:22">
      <c r="A17" s="50"/>
      <c r="B17" s="51"/>
      <c r="C17" s="51"/>
      <c r="D17" s="52"/>
      <c r="E17" s="203"/>
      <c r="F17" s="5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1:22">
      <c r="A18" s="54" t="s">
        <v>11</v>
      </c>
      <c r="B18" s="51"/>
      <c r="C18" s="51"/>
      <c r="D18" s="52"/>
      <c r="E18" s="203"/>
      <c r="F18" s="52"/>
      <c r="G18" s="64"/>
      <c r="H18" s="53"/>
      <c r="I18" s="53"/>
      <c r="J18" s="53"/>
      <c r="K18" s="53"/>
      <c r="L18" s="53"/>
      <c r="M18" s="53"/>
      <c r="N18" s="53"/>
      <c r="O18" s="53"/>
      <c r="P18" s="53"/>
      <c r="Q18" s="53"/>
    </row>
    <row r="19" spans="1:22">
      <c r="A19" s="47"/>
      <c r="B19" s="48"/>
      <c r="C19" s="48"/>
      <c r="D19" s="43"/>
      <c r="E19" s="65">
        <v>78547889</v>
      </c>
      <c r="F19" s="4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</row>
    <row r="20" spans="1:22">
      <c r="A20" s="49" t="s">
        <v>15</v>
      </c>
      <c r="B20" s="404">
        <v>0.17</v>
      </c>
      <c r="C20" s="48">
        <v>0</v>
      </c>
      <c r="D20" s="43">
        <v>6774</v>
      </c>
      <c r="E20" s="173">
        <f>G20/B20*100</f>
        <v>1131864.705882353</v>
      </c>
      <c r="F20" s="43">
        <v>271701543</v>
      </c>
      <c r="G20" s="53">
        <v>1924.17</v>
      </c>
      <c r="H20" s="53">
        <v>556447.29</v>
      </c>
      <c r="I20" s="53">
        <v>0</v>
      </c>
      <c r="J20" s="53">
        <v>96479.72</v>
      </c>
      <c r="K20" s="53">
        <v>4.7</v>
      </c>
      <c r="L20" s="53">
        <f>G20+H20+I20-J20+K20</f>
        <v>461896.44000000012</v>
      </c>
      <c r="M20" s="53">
        <v>28210.12</v>
      </c>
      <c r="N20" s="53">
        <f>L20-M20</f>
        <v>433686.32000000012</v>
      </c>
      <c r="O20" s="53">
        <v>0</v>
      </c>
      <c r="P20" s="53">
        <v>0</v>
      </c>
      <c r="Q20" s="53">
        <f>N20-O20-P20</f>
        <v>433686.32000000012</v>
      </c>
    </row>
    <row r="21" spans="1:22">
      <c r="A21" s="47" t="s">
        <v>16</v>
      </c>
      <c r="B21" s="48">
        <f>B20</f>
        <v>0.17</v>
      </c>
      <c r="C21" s="48">
        <f>C20</f>
        <v>0</v>
      </c>
      <c r="D21" s="43"/>
      <c r="E21" s="173">
        <v>3276683</v>
      </c>
      <c r="F21" s="65">
        <f>IF(E19&gt;E20,E19-E20,0)</f>
        <v>77416024.294117644</v>
      </c>
      <c r="G21" s="53">
        <f>F21*(B21-C21)/100</f>
        <v>131607.24129999999</v>
      </c>
      <c r="H21" s="53"/>
      <c r="I21" s="53"/>
      <c r="J21" s="53"/>
      <c r="K21" s="53"/>
      <c r="L21" s="53">
        <f>G21+H21+I21-J21+K21</f>
        <v>131607.24129999999</v>
      </c>
      <c r="M21" s="53"/>
      <c r="N21" s="53">
        <f>L21-M21</f>
        <v>131607.24129999999</v>
      </c>
      <c r="O21" s="53">
        <v>0</v>
      </c>
      <c r="P21" s="53">
        <v>0</v>
      </c>
      <c r="Q21" s="53">
        <f>N21-O21-P21</f>
        <v>131607.24129999999</v>
      </c>
    </row>
    <row r="22" spans="1:22">
      <c r="A22" s="47" t="s">
        <v>17</v>
      </c>
      <c r="B22" s="48">
        <f>B20</f>
        <v>0.17</v>
      </c>
      <c r="C22" s="48">
        <f>C20</f>
        <v>0</v>
      </c>
      <c r="D22" s="43"/>
      <c r="E22" s="173"/>
      <c r="F22" s="66">
        <v>389537366</v>
      </c>
      <c r="G22" s="53"/>
      <c r="H22" s="53">
        <f>F22*(B22-C22)/100</f>
        <v>662213.52220000001</v>
      </c>
      <c r="I22" s="53">
        <f>F22*C22/100</f>
        <v>0</v>
      </c>
      <c r="J22" s="53">
        <v>0</v>
      </c>
      <c r="K22" s="53">
        <v>0</v>
      </c>
      <c r="L22" s="53">
        <f>G22+H22+I22-J22+K22</f>
        <v>662213.52220000001</v>
      </c>
      <c r="M22" s="53">
        <v>0</v>
      </c>
      <c r="N22" s="53">
        <f>L22-M22</f>
        <v>662213.52220000001</v>
      </c>
      <c r="O22" s="53">
        <v>0</v>
      </c>
      <c r="P22" s="53">
        <v>0</v>
      </c>
      <c r="Q22" s="53">
        <f>N22-O22-P22</f>
        <v>662213.52220000001</v>
      </c>
    </row>
    <row r="23" spans="1:22">
      <c r="A23" s="47" t="s">
        <v>18</v>
      </c>
      <c r="B23" s="48"/>
      <c r="C23" s="48"/>
      <c r="D23" s="43"/>
      <c r="E23" s="173"/>
      <c r="F23" s="4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22">
      <c r="A24" s="67" t="s">
        <v>19</v>
      </c>
      <c r="B24" s="48">
        <f>B20</f>
        <v>0.17</v>
      </c>
      <c r="C24" s="48">
        <f>C20</f>
        <v>0</v>
      </c>
      <c r="D24" s="43"/>
      <c r="E24" s="173"/>
      <c r="F24" s="43">
        <v>80842533.709999993</v>
      </c>
      <c r="G24" s="53">
        <v>21279.13</v>
      </c>
      <c r="H24" s="53">
        <v>120190.31</v>
      </c>
      <c r="I24" s="53">
        <v>0</v>
      </c>
      <c r="J24" s="53">
        <v>4037.11</v>
      </c>
      <c r="K24" s="53">
        <v>0</v>
      </c>
      <c r="L24" s="53">
        <f>G24+H24+I24-J24+K24</f>
        <v>137432.33000000002</v>
      </c>
      <c r="M24" s="53">
        <v>5365.01</v>
      </c>
      <c r="N24" s="53">
        <f>L24-M24</f>
        <v>132067.32</v>
      </c>
      <c r="O24" s="53">
        <v>0</v>
      </c>
      <c r="P24" s="53">
        <v>88134.49</v>
      </c>
      <c r="Q24" s="53">
        <f>N24-O24-P24</f>
        <v>43932.83</v>
      </c>
    </row>
    <row r="25" spans="1:22">
      <c r="A25" s="67" t="s">
        <v>20</v>
      </c>
      <c r="B25" s="48">
        <f>B20</f>
        <v>0.17</v>
      </c>
      <c r="C25" s="48">
        <f>C20</f>
        <v>0</v>
      </c>
      <c r="D25" s="43"/>
      <c r="E25" s="173"/>
      <c r="F25" s="43">
        <v>10772234.189999999</v>
      </c>
      <c r="G25" s="53">
        <v>17950.55</v>
      </c>
      <c r="H25" s="53">
        <v>362.09</v>
      </c>
      <c r="I25" s="53">
        <v>0</v>
      </c>
      <c r="J25" s="53">
        <v>0</v>
      </c>
      <c r="K25" s="53">
        <v>0</v>
      </c>
      <c r="L25" s="53">
        <f>G25+H25+I25-J25+K25</f>
        <v>18312.64</v>
      </c>
      <c r="M25" s="53">
        <v>0.54</v>
      </c>
      <c r="N25" s="53">
        <f>L25-M25</f>
        <v>18312.099999999999</v>
      </c>
      <c r="O25" s="53">
        <v>0</v>
      </c>
      <c r="P25" s="53">
        <v>0</v>
      </c>
      <c r="Q25" s="53">
        <f>N25-O25-P25</f>
        <v>18312.099999999999</v>
      </c>
    </row>
    <row r="26" spans="1:22">
      <c r="A26" s="47"/>
      <c r="B26" s="48"/>
      <c r="C26" s="48"/>
      <c r="D26" s="43"/>
      <c r="E26" s="173"/>
      <c r="F26" s="4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1:22" s="50" customFormat="1" ht="13.5" thickBot="1">
      <c r="A27" s="60" t="str">
        <f>"TOTAL "&amp;A18</f>
        <v>TOTAL STATE OF NEVADA</v>
      </c>
      <c r="B27" s="68">
        <f>B20</f>
        <v>0.17</v>
      </c>
      <c r="C27" s="68">
        <f>C20</f>
        <v>0</v>
      </c>
      <c r="D27" s="69">
        <f t="shared" ref="D27:Q27" si="8">SUM(D20:D22,D24:D25)</f>
        <v>6774</v>
      </c>
      <c r="E27" s="204"/>
      <c r="F27" s="69">
        <f t="shared" si="8"/>
        <v>830269701.19411778</v>
      </c>
      <c r="G27" s="70">
        <f t="shared" si="8"/>
        <v>172761.0913</v>
      </c>
      <c r="H27" s="70">
        <f t="shared" si="8"/>
        <v>1339213.2122000002</v>
      </c>
      <c r="I27" s="70">
        <f t="shared" si="8"/>
        <v>0</v>
      </c>
      <c r="J27" s="70">
        <f t="shared" si="8"/>
        <v>100516.83</v>
      </c>
      <c r="K27" s="70">
        <f t="shared" si="8"/>
        <v>4.7</v>
      </c>
      <c r="L27" s="70">
        <f t="shared" si="8"/>
        <v>1411462.1735</v>
      </c>
      <c r="M27" s="70">
        <f t="shared" si="8"/>
        <v>33575.67</v>
      </c>
      <c r="N27" s="70">
        <f t="shared" si="8"/>
        <v>1377886.5035000003</v>
      </c>
      <c r="O27" s="70">
        <f t="shared" si="8"/>
        <v>0</v>
      </c>
      <c r="P27" s="70">
        <f t="shared" si="8"/>
        <v>88134.49</v>
      </c>
      <c r="Q27" s="70">
        <f t="shared" si="8"/>
        <v>1289752.0135000004</v>
      </c>
    </row>
    <row r="28" spans="1:22">
      <c r="A28" s="150" t="s">
        <v>355</v>
      </c>
      <c r="B28" s="48"/>
      <c r="C28" s="48"/>
      <c r="D28" s="43"/>
      <c r="E28" s="173"/>
      <c r="F28" s="64">
        <v>830269861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1:22">
      <c r="A29" s="151" t="s">
        <v>30</v>
      </c>
      <c r="B29" s="51"/>
      <c r="C29" s="51"/>
      <c r="D29" s="52"/>
      <c r="E29" s="203"/>
      <c r="F29" s="152">
        <f>F27-F28</f>
        <v>-159.80588221549988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T29" s="266" t="s">
        <v>378</v>
      </c>
      <c r="U29" s="266" t="s">
        <v>384</v>
      </c>
      <c r="V29" s="266" t="s">
        <v>227</v>
      </c>
    </row>
    <row r="30" spans="1:22">
      <c r="A30" s="54" t="s">
        <v>12</v>
      </c>
      <c r="B30" s="48"/>
      <c r="C30" s="48"/>
      <c r="D30" s="43"/>
      <c r="E30" s="173"/>
      <c r="F30" s="43"/>
      <c r="G30" s="64"/>
      <c r="H30" s="53"/>
      <c r="I30" s="53"/>
      <c r="J30" s="53"/>
      <c r="K30" s="53"/>
      <c r="L30" s="53"/>
      <c r="M30" s="53"/>
      <c r="N30" s="53"/>
      <c r="O30" s="53"/>
      <c r="P30" s="53"/>
      <c r="Q30" s="53"/>
      <c r="T30" s="266" t="s">
        <v>379</v>
      </c>
      <c r="U30" s="266" t="s">
        <v>385</v>
      </c>
      <c r="V30" s="266" t="s">
        <v>382</v>
      </c>
    </row>
    <row r="31" spans="1:22">
      <c r="A31" s="47"/>
      <c r="B31" s="48"/>
      <c r="C31" s="48"/>
      <c r="D31" s="43"/>
      <c r="E31" s="173"/>
      <c r="F31" s="463">
        <f>(G46+H46)/B46*100</f>
        <v>328454480.07067502</v>
      </c>
      <c r="G31" s="463"/>
      <c r="H31" s="464">
        <f>F31-J31</f>
        <v>271701671.77674997</v>
      </c>
      <c r="I31" s="463"/>
      <c r="J31" s="463">
        <f>J46/B46*100</f>
        <v>56752808.293925062</v>
      </c>
      <c r="K31" s="53"/>
      <c r="L31" s="53"/>
      <c r="M31" s="53"/>
      <c r="N31" s="53"/>
      <c r="O31" s="53"/>
      <c r="P31" s="53"/>
      <c r="Q31" s="53"/>
      <c r="T31" s="266"/>
      <c r="U31" s="266" t="s">
        <v>381</v>
      </c>
      <c r="V31" s="266" t="s">
        <v>383</v>
      </c>
    </row>
    <row r="32" spans="1:22">
      <c r="A32" s="49" t="s">
        <v>15</v>
      </c>
      <c r="B32" s="48"/>
      <c r="C32" s="48"/>
      <c r="D32" s="43"/>
      <c r="E32" s="173"/>
      <c r="F32" s="4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T32" s="266"/>
      <c r="U32" s="266"/>
      <c r="V32" s="266"/>
    </row>
    <row r="33" spans="1:22">
      <c r="A33" s="103" t="s">
        <v>145</v>
      </c>
      <c r="B33" s="402">
        <v>1.2679</v>
      </c>
      <c r="C33" s="48">
        <v>0</v>
      </c>
      <c r="D33" s="43">
        <v>6774</v>
      </c>
      <c r="E33" s="173"/>
      <c r="F33" s="43">
        <v>271701543</v>
      </c>
      <c r="G33" s="339">
        <v>14349.95</v>
      </c>
      <c r="H33" s="339">
        <v>4150125.15</v>
      </c>
      <c r="I33" s="339">
        <v>0</v>
      </c>
      <c r="J33" s="339">
        <v>719568.68</v>
      </c>
      <c r="K33" s="339">
        <v>35.090000000000003</v>
      </c>
      <c r="L33" s="339">
        <f>G33+H33+I33-J33+K33</f>
        <v>3444941.51</v>
      </c>
      <c r="M33" s="339">
        <v>210384.23</v>
      </c>
      <c r="N33" s="339">
        <f>L33-M33</f>
        <v>3234557.28</v>
      </c>
      <c r="O33" s="53">
        <v>0</v>
      </c>
      <c r="P33" s="53">
        <v>0</v>
      </c>
      <c r="Q33" s="53">
        <f>N33-O33-P33</f>
        <v>3234557.28</v>
      </c>
      <c r="T33" s="267">
        <f>B33/$B$46</f>
        <v>0.65888894662994335</v>
      </c>
      <c r="U33" s="153">
        <f>$T$51*T33</f>
        <v>6145749.8454489531</v>
      </c>
      <c r="V33" s="153">
        <f>Q33+U33</f>
        <v>9380307.1254489534</v>
      </c>
    </row>
    <row r="34" spans="1:22">
      <c r="A34" s="103" t="s">
        <v>146</v>
      </c>
      <c r="B34" s="402">
        <v>0.19089999999999999</v>
      </c>
      <c r="C34" s="48">
        <v>0</v>
      </c>
      <c r="D34" s="43">
        <v>6774</v>
      </c>
      <c r="E34" s="173"/>
      <c r="F34" s="43">
        <v>271701543</v>
      </c>
      <c r="G34" s="339">
        <v>2160.67</v>
      </c>
      <c r="H34" s="339">
        <v>624854.43999999994</v>
      </c>
      <c r="I34" s="339">
        <v>0</v>
      </c>
      <c r="J34" s="339">
        <v>108340.97</v>
      </c>
      <c r="K34" s="339">
        <v>5.29</v>
      </c>
      <c r="L34" s="339">
        <f t="shared" ref="L34:L44" si="9">G34+H34+I34-J34+K34</f>
        <v>518679.43</v>
      </c>
      <c r="M34" s="339">
        <v>31677.68</v>
      </c>
      <c r="N34" s="339">
        <f t="shared" ref="N34:N44" si="10">L34-M34</f>
        <v>487001.75</v>
      </c>
      <c r="O34" s="53">
        <v>0</v>
      </c>
      <c r="P34" s="53">
        <v>0</v>
      </c>
      <c r="Q34" s="53">
        <f t="shared" ref="Q34:Q44" si="11">N34-O34-P34</f>
        <v>487001.75</v>
      </c>
      <c r="T34" s="267">
        <f t="shared" ref="T34:T44" si="12">B34/$B$46</f>
        <v>9.9204905679987521E-2</v>
      </c>
      <c r="U34" s="153">
        <f t="shared" ref="U34:U44" si="13">$T$51*T34</f>
        <v>925328.21633898979</v>
      </c>
      <c r="V34" s="153">
        <f t="shared" ref="V34:V44" si="14">Q34+U34</f>
        <v>1412329.9663389898</v>
      </c>
    </row>
    <row r="35" spans="1:22">
      <c r="A35" s="103" t="s">
        <v>147</v>
      </c>
      <c r="B35" s="402">
        <v>7.5499999999999998E-2</v>
      </c>
      <c r="C35" s="48">
        <v>0</v>
      </c>
      <c r="D35" s="43">
        <v>6774</v>
      </c>
      <c r="E35" s="173"/>
      <c r="F35" s="43">
        <v>271701543</v>
      </c>
      <c r="G35" s="339">
        <v>854.52</v>
      </c>
      <c r="H35" s="339">
        <v>247125.51</v>
      </c>
      <c r="I35" s="339">
        <v>0</v>
      </c>
      <c r="J35" s="339">
        <v>42848.26</v>
      </c>
      <c r="K35" s="339">
        <v>2.09</v>
      </c>
      <c r="L35" s="339">
        <f t="shared" si="9"/>
        <v>205133.86</v>
      </c>
      <c r="M35" s="339">
        <v>12526.27</v>
      </c>
      <c r="N35" s="339">
        <f t="shared" si="10"/>
        <v>192607.59</v>
      </c>
      <c r="O35" s="53">
        <v>0</v>
      </c>
      <c r="P35" s="53">
        <v>0</v>
      </c>
      <c r="Q35" s="53">
        <f t="shared" si="11"/>
        <v>192607.59</v>
      </c>
      <c r="T35" s="267">
        <f t="shared" si="12"/>
        <v>3.9235046510419376E-2</v>
      </c>
      <c r="U35" s="153">
        <f t="shared" si="13"/>
        <v>365962.70473333547</v>
      </c>
      <c r="V35" s="153">
        <f t="shared" si="14"/>
        <v>558570.2947333355</v>
      </c>
    </row>
    <row r="36" spans="1:22">
      <c r="A36" s="103" t="s">
        <v>148</v>
      </c>
      <c r="B36" s="402">
        <v>6.5500000000000003E-2</v>
      </c>
      <c r="C36" s="48">
        <v>0</v>
      </c>
      <c r="D36" s="43">
        <v>6774</v>
      </c>
      <c r="E36" s="173"/>
      <c r="F36" s="43">
        <v>271701543</v>
      </c>
      <c r="G36" s="339">
        <v>741.3</v>
      </c>
      <c r="H36" s="339">
        <v>214396.46</v>
      </c>
      <c r="I36" s="339">
        <v>0</v>
      </c>
      <c r="J36" s="339">
        <v>37172.839999999997</v>
      </c>
      <c r="K36" s="339">
        <v>1.81</v>
      </c>
      <c r="L36" s="339">
        <f t="shared" si="9"/>
        <v>177966.72999999998</v>
      </c>
      <c r="M36" s="339">
        <v>10869.1</v>
      </c>
      <c r="N36" s="339">
        <f t="shared" si="10"/>
        <v>167097.62999999998</v>
      </c>
      <c r="O36" s="53">
        <v>0</v>
      </c>
      <c r="P36" s="53">
        <v>0</v>
      </c>
      <c r="Q36" s="53">
        <f t="shared" si="11"/>
        <v>167097.62999999998</v>
      </c>
      <c r="T36" s="267">
        <f t="shared" si="12"/>
        <v>3.4038351608377072E-2</v>
      </c>
      <c r="U36" s="153">
        <f t="shared" si="13"/>
        <v>317490.82331170159</v>
      </c>
      <c r="V36" s="153">
        <f t="shared" si="14"/>
        <v>484588.45331170154</v>
      </c>
    </row>
    <row r="37" spans="1:22">
      <c r="A37" s="103" t="s">
        <v>149</v>
      </c>
      <c r="B37" s="402">
        <v>1.4999999999999999E-2</v>
      </c>
      <c r="C37" s="48">
        <v>0</v>
      </c>
      <c r="D37" s="43">
        <v>6774</v>
      </c>
      <c r="E37" s="173"/>
      <c r="F37" s="43">
        <v>271701543</v>
      </c>
      <c r="G37" s="339">
        <v>169.83</v>
      </c>
      <c r="H37" s="339">
        <v>49100.37</v>
      </c>
      <c r="I37" s="339">
        <v>0</v>
      </c>
      <c r="J37" s="339">
        <v>8513</v>
      </c>
      <c r="K37" s="339">
        <v>0.41</v>
      </c>
      <c r="L37" s="339">
        <f t="shared" si="9"/>
        <v>40757.610000000008</v>
      </c>
      <c r="M37" s="339">
        <v>2488.65</v>
      </c>
      <c r="N37" s="339">
        <f t="shared" si="10"/>
        <v>38268.960000000006</v>
      </c>
      <c r="O37" s="53">
        <v>0</v>
      </c>
      <c r="P37" s="53">
        <v>0</v>
      </c>
      <c r="Q37" s="53">
        <f t="shared" si="11"/>
        <v>38268.960000000006</v>
      </c>
      <c r="T37" s="267">
        <f t="shared" si="12"/>
        <v>7.795042353063452E-3</v>
      </c>
      <c r="U37" s="153">
        <f t="shared" si="13"/>
        <v>72707.822132450747</v>
      </c>
      <c r="V37" s="153">
        <f t="shared" si="14"/>
        <v>110976.78213245075</v>
      </c>
    </row>
    <row r="38" spans="1:22">
      <c r="A38" s="103" t="s">
        <v>150</v>
      </c>
      <c r="B38" s="402">
        <v>1.4999999999999999E-2</v>
      </c>
      <c r="C38" s="48">
        <v>0</v>
      </c>
      <c r="D38" s="43">
        <v>6774</v>
      </c>
      <c r="E38" s="173"/>
      <c r="F38" s="43">
        <v>271701543</v>
      </c>
      <c r="G38" s="339">
        <v>169.83</v>
      </c>
      <c r="H38" s="339">
        <v>49100.37</v>
      </c>
      <c r="I38" s="339">
        <v>0</v>
      </c>
      <c r="J38" s="339">
        <v>8513</v>
      </c>
      <c r="K38" s="339">
        <v>0.41</v>
      </c>
      <c r="L38" s="339">
        <f t="shared" si="9"/>
        <v>40757.610000000008</v>
      </c>
      <c r="M38" s="339">
        <v>2488.65</v>
      </c>
      <c r="N38" s="339">
        <f t="shared" si="10"/>
        <v>38268.960000000006</v>
      </c>
      <c r="O38" s="53">
        <v>0</v>
      </c>
      <c r="P38" s="53">
        <v>0</v>
      </c>
      <c r="Q38" s="53">
        <f t="shared" si="11"/>
        <v>38268.960000000006</v>
      </c>
      <c r="T38" s="267">
        <f t="shared" si="12"/>
        <v>7.795042353063452E-3</v>
      </c>
      <c r="U38" s="153">
        <f t="shared" si="13"/>
        <v>72707.822132450747</v>
      </c>
      <c r="V38" s="153">
        <f t="shared" si="14"/>
        <v>110976.78213245075</v>
      </c>
    </row>
    <row r="39" spans="1:22">
      <c r="A39" s="103" t="s">
        <v>151</v>
      </c>
      <c r="B39" s="402">
        <v>0.03</v>
      </c>
      <c r="C39" s="48">
        <v>0</v>
      </c>
      <c r="D39" s="43">
        <v>6774</v>
      </c>
      <c r="E39" s="173"/>
      <c r="F39" s="43">
        <v>271701543</v>
      </c>
      <c r="G39" s="339">
        <v>339.66</v>
      </c>
      <c r="H39" s="339">
        <v>98196.23</v>
      </c>
      <c r="I39" s="339">
        <v>0</v>
      </c>
      <c r="J39" s="339">
        <v>17025.93</v>
      </c>
      <c r="K39" s="339">
        <v>0.83</v>
      </c>
      <c r="L39" s="339">
        <f t="shared" si="9"/>
        <v>81510.789999999994</v>
      </c>
      <c r="M39" s="339">
        <v>4978.51</v>
      </c>
      <c r="N39" s="339">
        <f t="shared" si="10"/>
        <v>76532.28</v>
      </c>
      <c r="O39" s="53">
        <v>0</v>
      </c>
      <c r="P39" s="53">
        <v>0</v>
      </c>
      <c r="Q39" s="53">
        <f t="shared" si="11"/>
        <v>76532.28</v>
      </c>
      <c r="T39" s="267">
        <f t="shared" si="12"/>
        <v>1.5590084706126904E-2</v>
      </c>
      <c r="U39" s="153">
        <f t="shared" si="13"/>
        <v>145415.64426490149</v>
      </c>
      <c r="V39" s="153">
        <f t="shared" si="14"/>
        <v>221947.92426490149</v>
      </c>
    </row>
    <row r="40" spans="1:22">
      <c r="A40" s="103" t="s">
        <v>152</v>
      </c>
      <c r="B40" s="402">
        <v>8.5000000000000006E-2</v>
      </c>
      <c r="C40" s="48">
        <v>0</v>
      </c>
      <c r="D40" s="43">
        <v>6774</v>
      </c>
      <c r="E40" s="173"/>
      <c r="F40" s="43">
        <v>271701543</v>
      </c>
      <c r="G40" s="339">
        <v>962.02</v>
      </c>
      <c r="H40" s="339">
        <v>278226.06</v>
      </c>
      <c r="I40" s="339">
        <v>0</v>
      </c>
      <c r="J40" s="339">
        <v>48239.85</v>
      </c>
      <c r="K40" s="339">
        <v>2.36</v>
      </c>
      <c r="L40" s="339">
        <f t="shared" si="9"/>
        <v>230950.59</v>
      </c>
      <c r="M40" s="339">
        <v>14103.52</v>
      </c>
      <c r="N40" s="339">
        <f t="shared" si="10"/>
        <v>216847.07</v>
      </c>
      <c r="O40" s="53">
        <v>0</v>
      </c>
      <c r="P40" s="53">
        <v>0</v>
      </c>
      <c r="Q40" s="53">
        <f t="shared" si="11"/>
        <v>216847.07</v>
      </c>
      <c r="T40" s="267">
        <f t="shared" si="12"/>
        <v>4.4171906667359567E-2</v>
      </c>
      <c r="U40" s="153">
        <f t="shared" si="13"/>
        <v>412010.99208388763</v>
      </c>
      <c r="V40" s="153">
        <f t="shared" si="14"/>
        <v>628858.06208388763</v>
      </c>
    </row>
    <row r="41" spans="1:22">
      <c r="A41" s="103" t="s">
        <v>153</v>
      </c>
      <c r="B41" s="402">
        <v>0.04</v>
      </c>
      <c r="C41" s="48">
        <v>0</v>
      </c>
      <c r="D41" s="43">
        <v>6774</v>
      </c>
      <c r="E41" s="173"/>
      <c r="F41" s="43">
        <v>271701543</v>
      </c>
      <c r="G41" s="339">
        <v>452.71</v>
      </c>
      <c r="H41" s="339">
        <v>130929.08</v>
      </c>
      <c r="I41" s="339">
        <v>0</v>
      </c>
      <c r="J41" s="339">
        <v>22701.37</v>
      </c>
      <c r="K41" s="339">
        <v>1.1100000000000001</v>
      </c>
      <c r="L41" s="339">
        <f t="shared" si="9"/>
        <v>108681.53000000001</v>
      </c>
      <c r="M41" s="339">
        <v>6637</v>
      </c>
      <c r="N41" s="339">
        <f t="shared" si="10"/>
        <v>102044.53000000001</v>
      </c>
      <c r="O41" s="53">
        <v>0</v>
      </c>
      <c r="P41" s="53">
        <v>0</v>
      </c>
      <c r="Q41" s="53">
        <f t="shared" si="11"/>
        <v>102044.53000000001</v>
      </c>
      <c r="T41" s="267">
        <f t="shared" si="12"/>
        <v>2.0786779608169204E-2</v>
      </c>
      <c r="U41" s="153">
        <f t="shared" si="13"/>
        <v>193887.52568653531</v>
      </c>
      <c r="V41" s="153">
        <f t="shared" si="14"/>
        <v>295932.05568653531</v>
      </c>
    </row>
    <row r="42" spans="1:22">
      <c r="A42" s="103" t="s">
        <v>154</v>
      </c>
      <c r="B42" s="402">
        <v>8.9499999999999996E-2</v>
      </c>
      <c r="C42" s="48">
        <v>0</v>
      </c>
      <c r="D42" s="43">
        <v>6774</v>
      </c>
      <c r="E42" s="173"/>
      <c r="F42" s="43">
        <v>271701543</v>
      </c>
      <c r="G42" s="339">
        <v>1012.99</v>
      </c>
      <c r="H42" s="339">
        <v>292955.88</v>
      </c>
      <c r="I42" s="339">
        <v>0</v>
      </c>
      <c r="J42" s="339">
        <v>50793.97</v>
      </c>
      <c r="K42" s="339">
        <v>2.48</v>
      </c>
      <c r="L42" s="339">
        <f t="shared" si="9"/>
        <v>243177.38</v>
      </c>
      <c r="M42" s="339">
        <v>14850.73</v>
      </c>
      <c r="N42" s="339">
        <f t="shared" si="10"/>
        <v>228326.65</v>
      </c>
      <c r="O42" s="53">
        <v>0</v>
      </c>
      <c r="P42" s="53">
        <v>0</v>
      </c>
      <c r="Q42" s="53">
        <f t="shared" si="11"/>
        <v>228326.65</v>
      </c>
      <c r="T42" s="267">
        <f t="shared" si="12"/>
        <v>4.6510419373278593E-2</v>
      </c>
      <c r="U42" s="153">
        <f t="shared" si="13"/>
        <v>433823.33872362279</v>
      </c>
      <c r="V42" s="153">
        <f t="shared" si="14"/>
        <v>662149.98872362275</v>
      </c>
    </row>
    <row r="43" spans="1:22">
      <c r="A43" s="67" t="s">
        <v>155</v>
      </c>
      <c r="B43" s="402">
        <v>0.05</v>
      </c>
      <c r="C43" s="48">
        <v>0</v>
      </c>
      <c r="D43" s="43">
        <v>6774</v>
      </c>
      <c r="E43" s="173"/>
      <c r="F43" s="43">
        <v>271701543</v>
      </c>
      <c r="G43" s="339">
        <v>565.99</v>
      </c>
      <c r="H43" s="339">
        <v>163660.54</v>
      </c>
      <c r="I43" s="339">
        <v>0</v>
      </c>
      <c r="J43" s="339">
        <v>28376.42</v>
      </c>
      <c r="K43" s="339">
        <v>1.38</v>
      </c>
      <c r="L43" s="339">
        <f t="shared" si="9"/>
        <v>135851.49</v>
      </c>
      <c r="M43" s="339">
        <v>8296.0300000000007</v>
      </c>
      <c r="N43" s="339">
        <f t="shared" si="10"/>
        <v>127555.45999999999</v>
      </c>
      <c r="O43" s="53">
        <v>0</v>
      </c>
      <c r="P43" s="53">
        <v>0</v>
      </c>
      <c r="Q43" s="53">
        <f t="shared" si="11"/>
        <v>127555.45999999999</v>
      </c>
      <c r="T43" s="267">
        <f t="shared" si="12"/>
        <v>2.5983474510211508E-2</v>
      </c>
      <c r="U43" s="153">
        <f t="shared" si="13"/>
        <v>242359.40710816917</v>
      </c>
      <c r="V43" s="153">
        <f t="shared" si="14"/>
        <v>369914.86710816913</v>
      </c>
    </row>
    <row r="44" spans="1:22">
      <c r="A44" s="67"/>
      <c r="B44" s="48"/>
      <c r="C44" s="48"/>
      <c r="D44" s="43"/>
      <c r="E44" s="173"/>
      <c r="F44" s="43"/>
      <c r="G44" s="53"/>
      <c r="H44" s="53"/>
      <c r="I44" s="53"/>
      <c r="J44" s="53"/>
      <c r="K44" s="53"/>
      <c r="L44" s="53">
        <f t="shared" si="9"/>
        <v>0</v>
      </c>
      <c r="M44" s="53"/>
      <c r="N44" s="53">
        <f t="shared" si="10"/>
        <v>0</v>
      </c>
      <c r="O44" s="53"/>
      <c r="P44" s="53"/>
      <c r="Q44" s="53">
        <f t="shared" si="11"/>
        <v>0</v>
      </c>
      <c r="T44" s="267">
        <f t="shared" si="12"/>
        <v>0</v>
      </c>
      <c r="U44" s="153">
        <f t="shared" si="13"/>
        <v>0</v>
      </c>
      <c r="V44" s="153">
        <f t="shared" si="14"/>
        <v>0</v>
      </c>
    </row>
    <row r="45" spans="1:22" s="50" customFormat="1">
      <c r="A45" s="71"/>
      <c r="B45" s="51"/>
      <c r="C45" s="51"/>
      <c r="D45" s="52"/>
      <c r="E45" s="65">
        <v>78547889</v>
      </c>
      <c r="F45" s="52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T45" s="268"/>
      <c r="U45" s="268"/>
      <c r="V45" s="268"/>
    </row>
    <row r="46" spans="1:22">
      <c r="A46" s="71" t="s">
        <v>26</v>
      </c>
      <c r="B46" s="48">
        <f>SUM(B33:B45)</f>
        <v>1.9242999999999999</v>
      </c>
      <c r="C46" s="48">
        <f>-SUM(C33:C45)</f>
        <v>0</v>
      </c>
      <c r="D46" s="72">
        <f>D33</f>
        <v>6774</v>
      </c>
      <c r="E46" s="208">
        <f>G46/B46*100</f>
        <v>1131812.6071818329</v>
      </c>
      <c r="F46" s="72">
        <f>F33</f>
        <v>271701543</v>
      </c>
      <c r="G46" s="73">
        <f t="shared" ref="G46:P46" si="15">SUM(G33:G45)</f>
        <v>21779.470000000008</v>
      </c>
      <c r="H46" s="73">
        <f t="shared" si="15"/>
        <v>6298670.0899999999</v>
      </c>
      <c r="I46" s="73">
        <f t="shared" si="15"/>
        <v>0</v>
      </c>
      <c r="J46" s="73">
        <f t="shared" si="15"/>
        <v>1092094.29</v>
      </c>
      <c r="K46" s="73">
        <f t="shared" si="15"/>
        <v>53.259999999999991</v>
      </c>
      <c r="L46" s="73">
        <f t="shared" si="15"/>
        <v>5228408.53</v>
      </c>
      <c r="M46" s="73">
        <f t="shared" si="15"/>
        <v>319300.37000000005</v>
      </c>
      <c r="N46" s="73">
        <f t="shared" si="15"/>
        <v>4909108.16</v>
      </c>
      <c r="O46" s="73">
        <f t="shared" si="15"/>
        <v>0</v>
      </c>
      <c r="P46" s="73">
        <f t="shared" si="15"/>
        <v>0</v>
      </c>
      <c r="Q46" s="73">
        <f>N46-O46-P46</f>
        <v>4909108.16</v>
      </c>
      <c r="T46" s="267">
        <f>SUM(T35:T44)</f>
        <v>0.24190614769006916</v>
      </c>
      <c r="U46" s="153">
        <f>SUM(U33:U44)</f>
        <v>9327444.1419649962</v>
      </c>
      <c r="V46" s="153">
        <f>SUM(V33:V44)</f>
        <v>14236552.301965</v>
      </c>
    </row>
    <row r="47" spans="1:22" ht="21" customHeight="1">
      <c r="A47" s="47" t="s">
        <v>16</v>
      </c>
      <c r="B47" s="48">
        <f>B46</f>
        <v>1.9242999999999999</v>
      </c>
      <c r="C47" s="48">
        <f>C46</f>
        <v>0</v>
      </c>
      <c r="D47" s="43"/>
      <c r="E47" s="173"/>
      <c r="F47" s="65">
        <f>IF(E45&gt;E46,E45-E46,0)</f>
        <v>77416076.392818168</v>
      </c>
      <c r="G47" s="53">
        <f>F47*(B47-C47)/100</f>
        <v>1489717.5580269999</v>
      </c>
      <c r="H47" s="53"/>
      <c r="I47" s="53">
        <f>F47*C47/100</f>
        <v>0</v>
      </c>
      <c r="J47" s="53"/>
      <c r="K47" s="53"/>
      <c r="L47" s="53">
        <f>G47+H47+I47-J47+K47</f>
        <v>1489717.5580269999</v>
      </c>
      <c r="M47" s="53"/>
      <c r="N47" s="53">
        <f>L47-M47</f>
        <v>1489717.5580269999</v>
      </c>
      <c r="O47" s="53"/>
      <c r="P47" s="53"/>
      <c r="Q47" s="53">
        <f>N47-O47-P47</f>
        <v>1489717.5580269999</v>
      </c>
      <c r="T47" s="266"/>
      <c r="U47" s="266"/>
      <c r="V47" s="266"/>
    </row>
    <row r="48" spans="1:22" ht="12.75" customHeight="1">
      <c r="A48" s="47" t="s">
        <v>17</v>
      </c>
      <c r="B48" s="48">
        <f>B46</f>
        <v>1.9242999999999999</v>
      </c>
      <c r="C48" s="48">
        <f>C46</f>
        <v>0</v>
      </c>
      <c r="D48" s="43"/>
      <c r="E48" s="173"/>
      <c r="F48" s="66">
        <v>389537366</v>
      </c>
      <c r="G48" s="53"/>
      <c r="H48" s="53">
        <f>F48*(B48-C48)/100</f>
        <v>7495867.533938</v>
      </c>
      <c r="I48" s="53">
        <f>F48*C48/100</f>
        <v>0</v>
      </c>
      <c r="J48" s="53">
        <v>0</v>
      </c>
      <c r="K48" s="53">
        <v>0</v>
      </c>
      <c r="L48" s="53">
        <f>G48+H48+I48-J48+K48</f>
        <v>7495867.533938</v>
      </c>
      <c r="M48" s="53">
        <v>0</v>
      </c>
      <c r="N48" s="53">
        <f>L48-M48</f>
        <v>7495867.533938</v>
      </c>
      <c r="O48" s="53">
        <v>0</v>
      </c>
      <c r="P48" s="53">
        <v>0</v>
      </c>
      <c r="Q48" s="53">
        <f>N48-O48-P48</f>
        <v>7495867.533938</v>
      </c>
      <c r="T48" s="266" t="s">
        <v>380</v>
      </c>
      <c r="U48" s="266"/>
      <c r="V48" s="266"/>
    </row>
    <row r="49" spans="1:22">
      <c r="A49" s="47" t="s">
        <v>18</v>
      </c>
      <c r="B49" s="48"/>
      <c r="C49" s="48"/>
      <c r="D49" s="43"/>
      <c r="E49" s="173"/>
      <c r="F49" s="4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T49" s="266" t="s">
        <v>381</v>
      </c>
      <c r="U49" s="266"/>
      <c r="V49" s="266"/>
    </row>
    <row r="50" spans="1:22">
      <c r="A50" s="67" t="s">
        <v>19</v>
      </c>
      <c r="B50" s="48">
        <f>B46</f>
        <v>1.9242999999999999</v>
      </c>
      <c r="C50" s="48">
        <f>C46</f>
        <v>0</v>
      </c>
      <c r="D50" s="43"/>
      <c r="E50" s="173"/>
      <c r="F50" s="43">
        <v>80842533.709999993</v>
      </c>
      <c r="G50" s="53">
        <v>240867.36</v>
      </c>
      <c r="H50" s="53">
        <v>1360483.4</v>
      </c>
      <c r="I50" s="53">
        <v>0</v>
      </c>
      <c r="J50" s="53">
        <v>45697.93</v>
      </c>
      <c r="K50" s="53">
        <v>0</v>
      </c>
      <c r="L50" s="53">
        <f>G50+H50+I50-J50+K50</f>
        <v>1555652.8299999998</v>
      </c>
      <c r="M50" s="53">
        <v>60728.46</v>
      </c>
      <c r="N50" s="53">
        <f>L50-M50</f>
        <v>1494924.3699999999</v>
      </c>
      <c r="O50" s="53">
        <v>0</v>
      </c>
      <c r="P50" s="53">
        <v>1360349.41</v>
      </c>
      <c r="Q50" s="53">
        <f>N50-O50-P50</f>
        <v>134574.95999999996</v>
      </c>
      <c r="T50" s="266"/>
      <c r="U50" s="266"/>
      <c r="V50" s="266"/>
    </row>
    <row r="51" spans="1:22">
      <c r="A51" s="67" t="s">
        <v>20</v>
      </c>
      <c r="B51" s="48">
        <f>B46</f>
        <v>1.9242999999999999</v>
      </c>
      <c r="C51" s="48">
        <f>C46</f>
        <v>0</v>
      </c>
      <c r="D51" s="43"/>
      <c r="E51" s="173"/>
      <c r="F51" s="43">
        <v>10772234.189999999</v>
      </c>
      <c r="G51" s="53">
        <v>203190.39</v>
      </c>
      <c r="H51" s="53">
        <v>4099.63</v>
      </c>
      <c r="I51" s="53">
        <v>0</v>
      </c>
      <c r="J51" s="53">
        <v>0</v>
      </c>
      <c r="K51" s="53">
        <v>0</v>
      </c>
      <c r="L51" s="53">
        <f>G51+H51+I51-J51+K51</f>
        <v>207290.02000000002</v>
      </c>
      <c r="M51" s="53">
        <v>5.93</v>
      </c>
      <c r="N51" s="53">
        <f>L51-M51</f>
        <v>207284.09000000003</v>
      </c>
      <c r="O51" s="53">
        <v>0</v>
      </c>
      <c r="P51" s="53">
        <v>0</v>
      </c>
      <c r="Q51" s="53">
        <f>N51-O51-P51</f>
        <v>207284.09000000003</v>
      </c>
      <c r="T51" s="153">
        <f>SUM(Q47:Q48,Q50:Q51)</f>
        <v>9327444.1419649981</v>
      </c>
      <c r="U51" s="266"/>
      <c r="V51" s="266"/>
    </row>
    <row r="52" spans="1:22">
      <c r="A52" s="47"/>
      <c r="B52" s="48"/>
      <c r="C52" s="48"/>
      <c r="D52" s="43"/>
      <c r="E52" s="173"/>
      <c r="F52" s="4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T52" s="266"/>
      <c r="U52" s="266"/>
      <c r="V52" s="266"/>
    </row>
    <row r="53" spans="1:22" s="50" customFormat="1" ht="13.5" thickBot="1">
      <c r="A53" s="60" t="str">
        <f>"TOTAL "&amp;A30</f>
        <v>TOTAL GENERAL COUNTY</v>
      </c>
      <c r="B53" s="68">
        <f>B46</f>
        <v>1.9242999999999999</v>
      </c>
      <c r="C53" s="68">
        <f>C46</f>
        <v>0</v>
      </c>
      <c r="D53" s="69">
        <f t="shared" ref="D53:Q53" si="16">SUM(D46:D48,D50:D51)</f>
        <v>6774</v>
      </c>
      <c r="E53" s="204"/>
      <c r="F53" s="69">
        <f t="shared" si="16"/>
        <v>830269753.29281831</v>
      </c>
      <c r="G53" s="70">
        <f t="shared" si="16"/>
        <v>1955554.7780269999</v>
      </c>
      <c r="H53" s="70">
        <f t="shared" si="16"/>
        <v>15159120.653938001</v>
      </c>
      <c r="I53" s="70">
        <f t="shared" si="16"/>
        <v>0</v>
      </c>
      <c r="J53" s="70">
        <f t="shared" si="16"/>
        <v>1137792.22</v>
      </c>
      <c r="K53" s="70">
        <f t="shared" si="16"/>
        <v>53.259999999999991</v>
      </c>
      <c r="L53" s="70">
        <f t="shared" si="16"/>
        <v>15976936.471965</v>
      </c>
      <c r="M53" s="70">
        <f t="shared" si="16"/>
        <v>380034.76000000007</v>
      </c>
      <c r="N53" s="70">
        <f t="shared" si="16"/>
        <v>15596901.711965</v>
      </c>
      <c r="O53" s="70">
        <f t="shared" si="16"/>
        <v>0</v>
      </c>
      <c r="P53" s="70">
        <f t="shared" si="16"/>
        <v>1360349.41</v>
      </c>
      <c r="Q53" s="70">
        <f t="shared" si="16"/>
        <v>14236552.301965002</v>
      </c>
    </row>
    <row r="54" spans="1:22" s="168" customFormat="1">
      <c r="A54" s="165" t="s">
        <v>28</v>
      </c>
      <c r="B54" s="166"/>
      <c r="C54" s="166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</row>
    <row r="55" spans="1:22" s="168" customFormat="1">
      <c r="A55" s="200" t="s">
        <v>29</v>
      </c>
      <c r="B55" s="166"/>
      <c r="C55" s="166"/>
      <c r="D55" s="167"/>
      <c r="E55" s="167"/>
      <c r="F55" s="167">
        <v>3276683</v>
      </c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</row>
    <row r="56" spans="1:22" s="168" customFormat="1">
      <c r="A56" s="200" t="s">
        <v>15</v>
      </c>
      <c r="B56" s="166"/>
      <c r="C56" s="166"/>
      <c r="D56" s="167"/>
      <c r="E56" s="167"/>
      <c r="F56" s="169">
        <v>270569838</v>
      </c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</row>
    <row r="57" spans="1:22" s="168" customFormat="1">
      <c r="A57" s="200"/>
      <c r="B57" s="166"/>
      <c r="C57" s="166"/>
      <c r="D57" s="167"/>
      <c r="E57" s="167"/>
      <c r="F57" s="167">
        <f>F55+F56</f>
        <v>273846521</v>
      </c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</row>
    <row r="58" spans="1:22" s="168" customFormat="1">
      <c r="A58" s="200" t="s">
        <v>30</v>
      </c>
      <c r="B58" s="166"/>
      <c r="C58" s="166"/>
      <c r="D58" s="167"/>
      <c r="E58" s="167"/>
      <c r="F58" s="74">
        <f>F46-F57</f>
        <v>-2144978</v>
      </c>
      <c r="G58" s="170">
        <f>F58/F57</f>
        <v>-7.8327743298225068E-3</v>
      </c>
      <c r="H58" s="167"/>
      <c r="I58" s="167"/>
      <c r="J58" s="167"/>
      <c r="K58" s="167"/>
      <c r="L58" s="167"/>
      <c r="M58" s="167"/>
      <c r="N58" s="167"/>
      <c r="O58" s="167"/>
      <c r="P58" s="167"/>
      <c r="Q58" s="167"/>
    </row>
    <row r="59" spans="1:22" s="174" customFormat="1">
      <c r="A59" s="171"/>
      <c r="B59" s="172"/>
      <c r="C59" s="172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1:22" s="174" customFormat="1">
      <c r="A60" s="75" t="s">
        <v>355</v>
      </c>
      <c r="B60" s="172"/>
      <c r="C60" s="172"/>
      <c r="D60" s="175"/>
      <c r="E60" s="175"/>
      <c r="F60" s="175">
        <v>830269861</v>
      </c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22" s="174" customFormat="1">
      <c r="A61" s="76" t="s">
        <v>30</v>
      </c>
      <c r="B61" s="172"/>
      <c r="C61" s="172"/>
      <c r="D61" s="77"/>
      <c r="E61" s="77"/>
      <c r="F61" s="77">
        <f>F53-F60</f>
        <v>-107.70718169212341</v>
      </c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1:22">
      <c r="A62" s="47"/>
      <c r="B62" s="48"/>
      <c r="C62" s="48"/>
      <c r="D62" s="43"/>
      <c r="E62" s="173"/>
      <c r="F62" s="4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</row>
    <row r="63" spans="1:22">
      <c r="A63" s="54" t="s">
        <v>13</v>
      </c>
      <c r="B63" s="51"/>
      <c r="C63" s="51"/>
      <c r="D63" s="52"/>
      <c r="E63" s="203"/>
      <c r="F63" s="52"/>
      <c r="G63" s="64"/>
      <c r="H63" s="53"/>
      <c r="I63" s="53"/>
      <c r="J63" s="53"/>
      <c r="K63" s="53"/>
      <c r="L63" s="53"/>
      <c r="M63" s="53"/>
      <c r="N63" s="53"/>
      <c r="O63" s="53"/>
      <c r="P63" s="53"/>
      <c r="Q63" s="53"/>
    </row>
    <row r="64" spans="1:22">
      <c r="A64" s="47"/>
      <c r="B64" s="48"/>
      <c r="C64" s="48"/>
      <c r="D64" s="43"/>
      <c r="E64" s="65">
        <v>78547889</v>
      </c>
      <c r="F64" s="4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</row>
    <row r="65" spans="1:19">
      <c r="A65" s="49" t="s">
        <v>15</v>
      </c>
      <c r="B65" s="48">
        <v>0.75</v>
      </c>
      <c r="C65" s="48">
        <v>0</v>
      </c>
      <c r="D65" s="43">
        <v>6774</v>
      </c>
      <c r="E65" s="173">
        <f>G65/B65*100</f>
        <v>1131808</v>
      </c>
      <c r="F65" s="43">
        <v>271701543</v>
      </c>
      <c r="G65" s="53">
        <v>8488.56</v>
      </c>
      <c r="H65" s="53">
        <v>2454921.2599999998</v>
      </c>
      <c r="I65" s="53">
        <v>0</v>
      </c>
      <c r="J65" s="53">
        <v>425646.2</v>
      </c>
      <c r="K65" s="53">
        <v>20.76</v>
      </c>
      <c r="L65" s="53">
        <f>G65+H65+I65-J65+K65</f>
        <v>2037784.38</v>
      </c>
      <c r="M65" s="53">
        <v>124447.81</v>
      </c>
      <c r="N65" s="53">
        <f>L65-M65</f>
        <v>1913336.5699999998</v>
      </c>
      <c r="O65" s="53">
        <v>0</v>
      </c>
      <c r="P65" s="53">
        <v>0</v>
      </c>
      <c r="Q65" s="53">
        <f>N65-O65-P65</f>
        <v>1913336.5699999998</v>
      </c>
    </row>
    <row r="66" spans="1:19">
      <c r="A66" s="47" t="s">
        <v>16</v>
      </c>
      <c r="B66" s="48">
        <f>B65</f>
        <v>0.75</v>
      </c>
      <c r="C66" s="48">
        <f>C65</f>
        <v>0</v>
      </c>
      <c r="D66" s="43"/>
      <c r="E66" s="173"/>
      <c r="F66" s="65">
        <f>IF(E64&gt;E65,E64-E65,0)</f>
        <v>77416081</v>
      </c>
      <c r="G66" s="53">
        <f>F66*(B66-C66)/100</f>
        <v>580620.60750000004</v>
      </c>
      <c r="H66" s="53"/>
      <c r="I66" s="53">
        <f>F66*C66/100</f>
        <v>0</v>
      </c>
      <c r="J66" s="53"/>
      <c r="K66" s="53"/>
      <c r="L66" s="53">
        <f>G66+H66+I66-J66+K66</f>
        <v>580620.60750000004</v>
      </c>
      <c r="M66" s="53"/>
      <c r="N66" s="53">
        <f>L66-M66</f>
        <v>580620.60750000004</v>
      </c>
      <c r="O66" s="53"/>
      <c r="P66" s="53"/>
      <c r="Q66" s="53">
        <f>N66-O66-P66</f>
        <v>580620.60750000004</v>
      </c>
    </row>
    <row r="67" spans="1:19">
      <c r="A67" s="47" t="s">
        <v>17</v>
      </c>
      <c r="B67" s="48">
        <f>B65</f>
        <v>0.75</v>
      </c>
      <c r="C67" s="48">
        <f>C65</f>
        <v>0</v>
      </c>
      <c r="D67" s="43"/>
      <c r="E67" s="173"/>
      <c r="F67" s="66">
        <v>389537366</v>
      </c>
      <c r="G67" s="53"/>
      <c r="H67" s="53">
        <f>F67*(B67-C67)/100</f>
        <v>2921530.2450000001</v>
      </c>
      <c r="I67" s="53">
        <f>F67*C67/100</f>
        <v>0</v>
      </c>
      <c r="J67" s="53">
        <v>0</v>
      </c>
      <c r="K67" s="53">
        <v>0</v>
      </c>
      <c r="L67" s="53">
        <f>G67+H67+I67-J67+K67</f>
        <v>2921530.2450000001</v>
      </c>
      <c r="M67" s="53">
        <v>0</v>
      </c>
      <c r="N67" s="53">
        <f>L67-M67</f>
        <v>2921530.2450000001</v>
      </c>
      <c r="O67" s="53">
        <v>0</v>
      </c>
      <c r="P67" s="53">
        <v>0</v>
      </c>
      <c r="Q67" s="53">
        <f>N67-O67-P67</f>
        <v>2921530.2450000001</v>
      </c>
    </row>
    <row r="68" spans="1:19">
      <c r="A68" s="47" t="s">
        <v>18</v>
      </c>
      <c r="B68" s="48"/>
      <c r="C68" s="48"/>
      <c r="D68" s="43"/>
      <c r="E68" s="173"/>
      <c r="F68" s="4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1:19">
      <c r="A69" s="67" t="s">
        <v>19</v>
      </c>
      <c r="B69" s="48">
        <f>B65</f>
        <v>0.75</v>
      </c>
      <c r="C69" s="48">
        <f>C65</f>
        <v>0</v>
      </c>
      <c r="D69" s="43"/>
      <c r="E69" s="173"/>
      <c r="F69" s="43">
        <v>80842533.709999993</v>
      </c>
      <c r="G69" s="53">
        <v>93878.57</v>
      </c>
      <c r="H69" s="53">
        <v>530251.30000000005</v>
      </c>
      <c r="I69" s="53">
        <v>0</v>
      </c>
      <c r="J69" s="53">
        <v>17810.87</v>
      </c>
      <c r="K69" s="53">
        <v>0</v>
      </c>
      <c r="L69" s="53">
        <f>G69+H69+I69-J69+K69</f>
        <v>606319.00000000012</v>
      </c>
      <c r="M69" s="53">
        <v>23669.06</v>
      </c>
      <c r="N69" s="53">
        <f>L69-M69</f>
        <v>582649.94000000006</v>
      </c>
      <c r="O69" s="53">
        <v>0</v>
      </c>
      <c r="P69" s="53">
        <v>56100</v>
      </c>
      <c r="Q69" s="53">
        <f>N69-O69-P69</f>
        <v>526549.94000000006</v>
      </c>
      <c r="S69" s="381">
        <f>Q70-G70</f>
        <v>1595.4099999999889</v>
      </c>
    </row>
    <row r="70" spans="1:19">
      <c r="A70" s="67" t="s">
        <v>20</v>
      </c>
      <c r="B70" s="17">
        <f>B65</f>
        <v>0.75</v>
      </c>
      <c r="C70" s="48">
        <f>C65</f>
        <v>0</v>
      </c>
      <c r="D70" s="43"/>
      <c r="E70" s="173"/>
      <c r="F70" s="43">
        <v>10772234.189999999</v>
      </c>
      <c r="G70" s="53">
        <v>79193.83</v>
      </c>
      <c r="H70" s="53">
        <v>1597.76</v>
      </c>
      <c r="I70" s="53">
        <v>0</v>
      </c>
      <c r="J70" s="53">
        <v>0</v>
      </c>
      <c r="K70" s="53">
        <v>0</v>
      </c>
      <c r="L70" s="53">
        <f>G70+H70+I70-J70+K70</f>
        <v>80791.59</v>
      </c>
      <c r="M70" s="53">
        <v>2.35</v>
      </c>
      <c r="N70" s="53">
        <f>L70-M70</f>
        <v>80789.239999999991</v>
      </c>
      <c r="O70" s="53">
        <v>0</v>
      </c>
      <c r="P70" s="53"/>
      <c r="Q70" s="53">
        <f>N70-O70-P70</f>
        <v>80789.239999999991</v>
      </c>
      <c r="S70" s="381">
        <f>G70</f>
        <v>79193.83</v>
      </c>
    </row>
    <row r="71" spans="1:19">
      <c r="A71" s="47"/>
      <c r="B71" s="48"/>
      <c r="C71" s="48"/>
      <c r="D71" s="43"/>
      <c r="E71" s="173"/>
      <c r="F71" s="4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1:19" s="50" customFormat="1">
      <c r="A72" s="57" t="s">
        <v>31</v>
      </c>
      <c r="B72" s="51">
        <f>B65</f>
        <v>0.75</v>
      </c>
      <c r="C72" s="51">
        <f>C65</f>
        <v>0</v>
      </c>
      <c r="D72" s="78">
        <f t="shared" ref="D72:Q72" si="17">SUM(D65:D67,D69:D70)</f>
        <v>6774</v>
      </c>
      <c r="E72" s="206"/>
      <c r="F72" s="78">
        <f t="shared" si="17"/>
        <v>830269757.9000001</v>
      </c>
      <c r="G72" s="79">
        <f t="shared" si="17"/>
        <v>762181.5675</v>
      </c>
      <c r="H72" s="79">
        <f t="shared" si="17"/>
        <v>5908300.5649999995</v>
      </c>
      <c r="I72" s="79">
        <f t="shared" si="17"/>
        <v>0</v>
      </c>
      <c r="J72" s="79">
        <f t="shared" si="17"/>
        <v>443457.07</v>
      </c>
      <c r="K72" s="79">
        <f t="shared" si="17"/>
        <v>20.76</v>
      </c>
      <c r="L72" s="79">
        <f t="shared" si="17"/>
        <v>6227045.8224999998</v>
      </c>
      <c r="M72" s="79">
        <f t="shared" si="17"/>
        <v>148119.22</v>
      </c>
      <c r="N72" s="79">
        <f t="shared" si="17"/>
        <v>6078926.6025</v>
      </c>
      <c r="O72" s="79">
        <f t="shared" si="17"/>
        <v>0</v>
      </c>
      <c r="P72" s="79">
        <f t="shared" si="17"/>
        <v>56100</v>
      </c>
      <c r="Q72" s="79">
        <f t="shared" si="17"/>
        <v>6022826.6025</v>
      </c>
    </row>
    <row r="73" spans="1:19">
      <c r="A73" s="47"/>
      <c r="B73" s="48"/>
      <c r="C73" s="48"/>
      <c r="D73" s="43"/>
      <c r="E73" s="173"/>
      <c r="F73" s="43"/>
      <c r="G73" s="53"/>
      <c r="H73" s="53"/>
      <c r="I73" s="53"/>
      <c r="J73" s="53"/>
      <c r="K73" s="53"/>
      <c r="L73" s="505" t="s">
        <v>388</v>
      </c>
      <c r="M73" s="506">
        <f>M72/L72</f>
        <v>2.378643488776094E-2</v>
      </c>
      <c r="N73" s="53"/>
      <c r="O73" s="53"/>
      <c r="P73" s="53"/>
      <c r="Q73" s="53"/>
    </row>
    <row r="74" spans="1:19">
      <c r="A74" s="47"/>
      <c r="B74" s="48"/>
      <c r="C74" s="48"/>
      <c r="D74" s="43"/>
      <c r="E74" s="173"/>
      <c r="F74" s="43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19">
      <c r="A75" s="54" t="s">
        <v>32</v>
      </c>
      <c r="B75" s="48"/>
      <c r="C75" s="48"/>
      <c r="D75" s="43"/>
      <c r="E75" s="173"/>
      <c r="F75" s="43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1:19">
      <c r="A76" s="47"/>
      <c r="B76" s="48"/>
      <c r="C76" s="48"/>
      <c r="D76" s="43"/>
      <c r="E76" s="65">
        <v>78547889</v>
      </c>
      <c r="F76" s="43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9">
      <c r="A77" s="49" t="s">
        <v>15</v>
      </c>
      <c r="B77" s="48">
        <v>0</v>
      </c>
      <c r="C77" s="48"/>
      <c r="D77" s="43"/>
      <c r="E77" s="173"/>
      <c r="F77" s="52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>
        <f>N77-O77-P77</f>
        <v>0</v>
      </c>
    </row>
    <row r="78" spans="1:19">
      <c r="A78" s="47" t="s">
        <v>16</v>
      </c>
      <c r="B78" s="48">
        <f>B77</f>
        <v>0</v>
      </c>
      <c r="C78" s="48">
        <f>C77</f>
        <v>0</v>
      </c>
      <c r="D78" s="43"/>
      <c r="E78" s="173"/>
      <c r="F78" s="65">
        <f>IF(E76&gt;E77,E76-E77,0)</f>
        <v>78547889</v>
      </c>
      <c r="G78" s="53">
        <f>F78*(B78-C78)/100</f>
        <v>0</v>
      </c>
      <c r="H78" s="53"/>
      <c r="I78" s="53">
        <f>F78*C78/100</f>
        <v>0</v>
      </c>
      <c r="J78" s="53"/>
      <c r="K78" s="53"/>
      <c r="L78" s="53">
        <f>G78+H78+I78-J78+K78</f>
        <v>0</v>
      </c>
      <c r="M78" s="53"/>
      <c r="N78" s="53">
        <f>L78-M78</f>
        <v>0</v>
      </c>
      <c r="O78" s="53"/>
      <c r="P78" s="53"/>
      <c r="Q78" s="53">
        <f>N78-O78-P78</f>
        <v>0</v>
      </c>
    </row>
    <row r="79" spans="1:19">
      <c r="A79" s="47" t="s">
        <v>17</v>
      </c>
      <c r="B79" s="48">
        <f>B77</f>
        <v>0</v>
      </c>
      <c r="C79" s="48">
        <f>C77</f>
        <v>0</v>
      </c>
      <c r="D79" s="43"/>
      <c r="E79" s="173"/>
      <c r="F79" s="66">
        <v>389537366</v>
      </c>
      <c r="G79" s="53"/>
      <c r="H79" s="53">
        <f>F79*(B79-C79)/100</f>
        <v>0</v>
      </c>
      <c r="I79" s="53">
        <f>F79*C79/100</f>
        <v>0</v>
      </c>
      <c r="J79" s="53"/>
      <c r="K79" s="53"/>
      <c r="L79" s="53">
        <f>G79+H79+I79-J79+K79</f>
        <v>0</v>
      </c>
      <c r="M79" s="53"/>
      <c r="N79" s="53">
        <f>L79-M79</f>
        <v>0</v>
      </c>
      <c r="O79" s="53"/>
      <c r="P79" s="53"/>
      <c r="Q79" s="53">
        <f>N79-O79-P79</f>
        <v>0</v>
      </c>
    </row>
    <row r="80" spans="1:19">
      <c r="A80" s="47" t="s">
        <v>18</v>
      </c>
      <c r="B80" s="48"/>
      <c r="C80" s="48"/>
      <c r="D80" s="43"/>
      <c r="E80" s="173"/>
      <c r="F80" s="4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17">
      <c r="A81" s="67" t="s">
        <v>19</v>
      </c>
      <c r="B81" s="48">
        <f>B77</f>
        <v>0</v>
      </c>
      <c r="C81" s="48">
        <f>C77</f>
        <v>0</v>
      </c>
      <c r="D81" s="43"/>
      <c r="E81" s="173"/>
      <c r="F81" s="43"/>
      <c r="G81" s="53"/>
      <c r="H81" s="53"/>
      <c r="I81" s="53"/>
      <c r="J81" s="53"/>
      <c r="K81" s="53"/>
      <c r="L81" s="53">
        <f>G81+H81+I81-J81+K81</f>
        <v>0</v>
      </c>
      <c r="M81" s="53"/>
      <c r="N81" s="53">
        <f>L81-M81</f>
        <v>0</v>
      </c>
      <c r="O81" s="53"/>
      <c r="P81" s="53">
        <v>0</v>
      </c>
      <c r="Q81" s="53">
        <f>N81-O81-P81</f>
        <v>0</v>
      </c>
    </row>
    <row r="82" spans="1:17">
      <c r="A82" s="67" t="s">
        <v>20</v>
      </c>
      <c r="B82" s="48">
        <f>B77</f>
        <v>0</v>
      </c>
      <c r="C82" s="48">
        <f>C77</f>
        <v>0</v>
      </c>
      <c r="D82" s="43"/>
      <c r="E82" s="173"/>
      <c r="F82" s="43"/>
      <c r="G82" s="53"/>
      <c r="H82" s="53"/>
      <c r="I82" s="53">
        <f>F82*C82/100</f>
        <v>0</v>
      </c>
      <c r="J82" s="53"/>
      <c r="K82" s="53"/>
      <c r="L82" s="53">
        <f>G82+H82+I82-J82+K82</f>
        <v>0</v>
      </c>
      <c r="M82" s="53"/>
      <c r="N82" s="53">
        <f>L82-M82</f>
        <v>0</v>
      </c>
      <c r="O82" s="53"/>
      <c r="P82" s="53">
        <v>0</v>
      </c>
      <c r="Q82" s="53">
        <f>N82-O82-P82</f>
        <v>0</v>
      </c>
    </row>
    <row r="83" spans="1:17">
      <c r="A83" s="47"/>
      <c r="B83" s="48"/>
      <c r="C83" s="48"/>
      <c r="D83" s="43"/>
      <c r="E83" s="173"/>
      <c r="F83" s="4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17" s="50" customFormat="1">
      <c r="A84" s="57" t="str">
        <f>"TOTAL "&amp;A75</f>
        <v>TOTAL SCHOOL DEBT</v>
      </c>
      <c r="B84" s="51">
        <f>B77</f>
        <v>0</v>
      </c>
      <c r="C84" s="51">
        <f>C77</f>
        <v>0</v>
      </c>
      <c r="D84" s="78">
        <f t="shared" ref="D84:Q84" si="18">SUM(D77:D79,D81:D82)</f>
        <v>0</v>
      </c>
      <c r="E84" s="206"/>
      <c r="F84" s="78">
        <f t="shared" si="18"/>
        <v>468085255</v>
      </c>
      <c r="G84" s="79">
        <f t="shared" si="18"/>
        <v>0</v>
      </c>
      <c r="H84" s="79">
        <f t="shared" si="18"/>
        <v>0</v>
      </c>
      <c r="I84" s="79">
        <f t="shared" si="18"/>
        <v>0</v>
      </c>
      <c r="J84" s="79">
        <f t="shared" si="18"/>
        <v>0</v>
      </c>
      <c r="K84" s="79">
        <f t="shared" si="18"/>
        <v>0</v>
      </c>
      <c r="L84" s="79">
        <f t="shared" si="18"/>
        <v>0</v>
      </c>
      <c r="M84" s="79">
        <f t="shared" si="18"/>
        <v>0</v>
      </c>
      <c r="N84" s="79">
        <f t="shared" si="18"/>
        <v>0</v>
      </c>
      <c r="O84" s="79">
        <f t="shared" si="18"/>
        <v>0</v>
      </c>
      <c r="P84" s="79">
        <f t="shared" si="18"/>
        <v>0</v>
      </c>
      <c r="Q84" s="79">
        <f t="shared" si="18"/>
        <v>0</v>
      </c>
    </row>
    <row r="85" spans="1:17">
      <c r="A85" s="47"/>
      <c r="B85" s="48"/>
      <c r="C85" s="48"/>
      <c r="D85" s="43"/>
      <c r="E85" s="173"/>
      <c r="F85" s="4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pans="1:17" s="50" customFormat="1" ht="13.5" thickBot="1">
      <c r="A86" s="60" t="str">
        <f>"TOTAL "&amp;A63</f>
        <v>TOTAL SCHOOL DISTRICT</v>
      </c>
      <c r="B86" s="68">
        <f>B72+B84</f>
        <v>0.75</v>
      </c>
      <c r="C86" s="68">
        <f>C72+C84</f>
        <v>0</v>
      </c>
      <c r="D86" s="69">
        <f>D72</f>
        <v>6774</v>
      </c>
      <c r="E86" s="204"/>
      <c r="F86" s="69">
        <f>F72</f>
        <v>830269757.9000001</v>
      </c>
      <c r="G86" s="70">
        <f t="shared" ref="G86:Q86" si="19">G72+G84</f>
        <v>762181.5675</v>
      </c>
      <c r="H86" s="70">
        <f t="shared" si="19"/>
        <v>5908300.5649999995</v>
      </c>
      <c r="I86" s="70">
        <f t="shared" si="19"/>
        <v>0</v>
      </c>
      <c r="J86" s="70">
        <f t="shared" si="19"/>
        <v>443457.07</v>
      </c>
      <c r="K86" s="70">
        <f t="shared" si="19"/>
        <v>20.76</v>
      </c>
      <c r="L86" s="70">
        <f t="shared" si="19"/>
        <v>6227045.8224999998</v>
      </c>
      <c r="M86" s="70">
        <f t="shared" si="19"/>
        <v>148119.22</v>
      </c>
      <c r="N86" s="70">
        <f t="shared" si="19"/>
        <v>6078926.6025</v>
      </c>
      <c r="O86" s="70">
        <f t="shared" si="19"/>
        <v>0</v>
      </c>
      <c r="P86" s="70">
        <f t="shared" si="19"/>
        <v>56100</v>
      </c>
      <c r="Q86" s="70">
        <f t="shared" si="19"/>
        <v>6022826.6025</v>
      </c>
    </row>
    <row r="87" spans="1:17">
      <c r="A87" s="150" t="s">
        <v>355</v>
      </c>
      <c r="B87" s="48"/>
      <c r="C87" s="48"/>
      <c r="D87" s="43"/>
      <c r="E87" s="173"/>
      <c r="F87" s="64">
        <v>830269861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</row>
    <row r="88" spans="1:17">
      <c r="A88" s="151" t="s">
        <v>30</v>
      </c>
      <c r="B88" s="51"/>
      <c r="C88" s="51"/>
      <c r="D88" s="52"/>
      <c r="E88" s="203"/>
      <c r="F88" s="152">
        <f>F86-F87</f>
        <v>-103.09999990463257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</row>
    <row r="89" spans="1:17">
      <c r="A89" s="15" t="s">
        <v>141</v>
      </c>
      <c r="B89" s="48"/>
      <c r="C89" s="48"/>
      <c r="D89" s="43"/>
      <c r="E89" s="203"/>
      <c r="F89" s="4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1:17">
      <c r="A90" s="50"/>
      <c r="B90" s="51"/>
      <c r="C90" s="51"/>
      <c r="D90" s="52"/>
      <c r="E90" s="65">
        <v>198523</v>
      </c>
      <c r="F90" s="52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1:17">
      <c r="A91" s="49" t="s">
        <v>15</v>
      </c>
      <c r="B91" s="17">
        <v>0.28899999999999998</v>
      </c>
      <c r="C91" s="48">
        <v>0</v>
      </c>
      <c r="D91" s="43">
        <v>514</v>
      </c>
      <c r="E91" s="223">
        <f>G91/B91*100</f>
        <v>10401.384083044984</v>
      </c>
      <c r="F91" s="43">
        <v>4873119</v>
      </c>
      <c r="G91" s="53">
        <v>30.06</v>
      </c>
      <c r="H91" s="53">
        <v>10803.78</v>
      </c>
      <c r="I91" s="53">
        <v>0</v>
      </c>
      <c r="J91" s="53">
        <v>49.5</v>
      </c>
      <c r="K91" s="53">
        <v>0</v>
      </c>
      <c r="L91" s="53">
        <f>G91+H91+I91-J91+K91</f>
        <v>10784.34</v>
      </c>
      <c r="M91" s="53">
        <v>443.58</v>
      </c>
      <c r="N91" s="53">
        <f>L91-M91</f>
        <v>10340.76</v>
      </c>
      <c r="O91" s="53">
        <v>0</v>
      </c>
      <c r="P91" s="53">
        <v>0</v>
      </c>
      <c r="Q91" s="53">
        <f>N91-O91-P91</f>
        <v>10340.76</v>
      </c>
    </row>
    <row r="92" spans="1:17">
      <c r="A92" s="213" t="s">
        <v>477</v>
      </c>
      <c r="B92" s="155">
        <v>5.4199999999999998E-2</v>
      </c>
      <c r="C92" s="155">
        <v>0</v>
      </c>
      <c r="D92" s="476">
        <v>514</v>
      </c>
      <c r="E92" s="66"/>
      <c r="F92" s="476">
        <v>4873119</v>
      </c>
      <c r="G92" s="156">
        <v>7.37</v>
      </c>
      <c r="H92" s="156">
        <v>2645.98</v>
      </c>
      <c r="I92" s="156"/>
      <c r="J92" s="156">
        <v>12.13</v>
      </c>
      <c r="K92" s="156">
        <v>0</v>
      </c>
      <c r="L92" s="156">
        <f>G92+H92+I92-J92+K92</f>
        <v>2641.22</v>
      </c>
      <c r="M92" s="156">
        <v>108.61</v>
      </c>
      <c r="N92" s="156">
        <f>L92-M92</f>
        <v>2532.6099999999997</v>
      </c>
      <c r="O92" s="156"/>
      <c r="P92" s="156"/>
      <c r="Q92" s="156">
        <f>N92-O92-P92</f>
        <v>2532.6099999999997</v>
      </c>
    </row>
    <row r="93" spans="1:17">
      <c r="A93" s="213" t="s">
        <v>478</v>
      </c>
      <c r="B93" s="155">
        <v>1.35E-2</v>
      </c>
      <c r="C93" s="155">
        <v>0</v>
      </c>
      <c r="D93" s="476">
        <v>514</v>
      </c>
      <c r="E93" s="66"/>
      <c r="F93" s="476">
        <v>4873119</v>
      </c>
      <c r="G93" s="156">
        <v>1.84</v>
      </c>
      <c r="H93" s="156">
        <v>658.84</v>
      </c>
      <c r="I93" s="156"/>
      <c r="J93" s="156">
        <v>3.03</v>
      </c>
      <c r="K93" s="156">
        <v>0</v>
      </c>
      <c r="L93" s="156">
        <f>G93+H93+I93-J93+K93</f>
        <v>657.65000000000009</v>
      </c>
      <c r="M93" s="156">
        <v>27.09</v>
      </c>
      <c r="N93" s="156">
        <f>L93-M93</f>
        <v>630.56000000000006</v>
      </c>
      <c r="O93" s="156">
        <v>0</v>
      </c>
      <c r="P93" s="156">
        <v>0</v>
      </c>
      <c r="Q93" s="156">
        <f>N93-O93</f>
        <v>630.56000000000006</v>
      </c>
    </row>
    <row r="94" spans="1:17">
      <c r="A94" s="47" t="s">
        <v>16</v>
      </c>
      <c r="B94" s="48">
        <f>B91</f>
        <v>0.28899999999999998</v>
      </c>
      <c r="C94" s="48"/>
      <c r="D94" s="43"/>
      <c r="E94" s="223"/>
      <c r="F94" s="65">
        <f>IF(E90&gt;E91,E90-E91,0)</f>
        <v>188121.61591695502</v>
      </c>
      <c r="G94" s="53">
        <f>F94*(B94-C94)/100</f>
        <v>543.67147</v>
      </c>
      <c r="H94" s="53"/>
      <c r="I94" s="53">
        <f>F94*C94/100</f>
        <v>0</v>
      </c>
      <c r="J94" s="53"/>
      <c r="K94" s="53"/>
      <c r="L94" s="53">
        <f>G94+H94+I94-J94+K94</f>
        <v>543.67147</v>
      </c>
      <c r="M94" s="53"/>
      <c r="N94" s="53">
        <f>L94-M94</f>
        <v>543.67147</v>
      </c>
      <c r="O94" s="53"/>
      <c r="P94" s="53"/>
      <c r="Q94" s="53">
        <f>N94-O94-P94</f>
        <v>543.67147</v>
      </c>
    </row>
    <row r="95" spans="1:17">
      <c r="A95" s="47" t="s">
        <v>17</v>
      </c>
      <c r="B95" s="48">
        <f>B91</f>
        <v>0.28899999999999998</v>
      </c>
      <c r="C95" s="48">
        <f>+C94</f>
        <v>0</v>
      </c>
      <c r="D95" s="43"/>
      <c r="E95" s="173"/>
      <c r="F95" s="66">
        <v>582523</v>
      </c>
      <c r="G95" s="53"/>
      <c r="H95" s="53">
        <f>F95*(B95-C95)/100</f>
        <v>1683.4914699999999</v>
      </c>
      <c r="I95" s="53">
        <f>F95*C95/100</f>
        <v>0</v>
      </c>
      <c r="J95" s="53">
        <v>0</v>
      </c>
      <c r="K95" s="53">
        <v>0</v>
      </c>
      <c r="L95" s="53">
        <f>G95+H95+I95-J95+K95</f>
        <v>1683.4914699999999</v>
      </c>
      <c r="M95" s="53">
        <v>0</v>
      </c>
      <c r="N95" s="53">
        <f>L95-M95</f>
        <v>1683.4914699999999</v>
      </c>
      <c r="O95" s="53">
        <v>0</v>
      </c>
      <c r="P95" s="53">
        <v>0</v>
      </c>
      <c r="Q95" s="53">
        <f>N95-O95-P95</f>
        <v>1683.4914699999999</v>
      </c>
    </row>
    <row r="96" spans="1:17">
      <c r="A96" s="47" t="s">
        <v>18</v>
      </c>
      <c r="B96" s="48"/>
      <c r="C96" s="48"/>
      <c r="D96" s="43"/>
      <c r="E96" s="173"/>
      <c r="F96" s="4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1:17">
      <c r="A97" s="67" t="s">
        <v>19</v>
      </c>
      <c r="B97" s="48">
        <f>B91</f>
        <v>0.28899999999999998</v>
      </c>
      <c r="C97" s="48">
        <f>+C95</f>
        <v>0</v>
      </c>
      <c r="D97" s="43"/>
      <c r="E97" s="173"/>
      <c r="F97" s="43">
        <v>403666.29</v>
      </c>
      <c r="G97" s="53">
        <v>42.8</v>
      </c>
      <c r="H97" s="53">
        <v>1123.94</v>
      </c>
      <c r="I97" s="53">
        <v>0</v>
      </c>
      <c r="J97" s="53">
        <v>48.98</v>
      </c>
      <c r="K97" s="53">
        <v>0</v>
      </c>
      <c r="L97" s="53">
        <f>G97+H97+I97-J97+K97</f>
        <v>1117.76</v>
      </c>
      <c r="M97" s="53">
        <v>85.24</v>
      </c>
      <c r="N97" s="53">
        <f>L97-M97</f>
        <v>1032.52</v>
      </c>
      <c r="O97" s="53">
        <v>0</v>
      </c>
      <c r="P97" s="53">
        <v>0</v>
      </c>
      <c r="Q97" s="53">
        <f>N97-O97-P97</f>
        <v>1032.52</v>
      </c>
    </row>
    <row r="98" spans="1:17">
      <c r="A98" s="67" t="s">
        <v>20</v>
      </c>
      <c r="B98" s="48">
        <f>B91</f>
        <v>0.28899999999999998</v>
      </c>
      <c r="C98" s="48">
        <f>+C95</f>
        <v>0</v>
      </c>
      <c r="D98" s="43"/>
      <c r="E98" s="173"/>
      <c r="F98" s="43">
        <v>99519.07</v>
      </c>
      <c r="G98" s="53">
        <v>287.61</v>
      </c>
      <c r="H98" s="53"/>
      <c r="I98" s="53">
        <v>0</v>
      </c>
      <c r="J98" s="53">
        <v>0</v>
      </c>
      <c r="K98" s="53">
        <v>0</v>
      </c>
      <c r="L98" s="53">
        <f>G98+H98+I98-J98+K98</f>
        <v>287.61</v>
      </c>
      <c r="M98" s="53">
        <v>0</v>
      </c>
      <c r="N98" s="53">
        <f>L98-M98</f>
        <v>287.61</v>
      </c>
      <c r="O98" s="53">
        <v>0</v>
      </c>
      <c r="P98" s="53">
        <v>0</v>
      </c>
      <c r="Q98" s="53">
        <f>N98-O98-P98</f>
        <v>287.61</v>
      </c>
    </row>
    <row r="99" spans="1:17">
      <c r="A99" s="47"/>
      <c r="B99" s="48"/>
      <c r="C99" s="48"/>
      <c r="D99" s="43"/>
      <c r="E99" s="173"/>
      <c r="F99" s="4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1:17" s="50" customFormat="1" ht="13.5" thickBot="1">
      <c r="A100" s="60" t="str">
        <f>"TOTAL "&amp;A89</f>
        <v>TOTAL AUSTIN TOWN</v>
      </c>
      <c r="B100" s="68">
        <f>B91</f>
        <v>0.28899999999999998</v>
      </c>
      <c r="C100" s="68">
        <f>+C98</f>
        <v>0</v>
      </c>
      <c r="D100" s="69">
        <f>SUM(D91,D94,D95,D97:D98)</f>
        <v>514</v>
      </c>
      <c r="E100" s="215"/>
      <c r="F100" s="69">
        <f>SUM(F91:F95,F97:F98)-F92-F93</f>
        <v>6146948.9759169538</v>
      </c>
      <c r="G100" s="70">
        <f t="shared" ref="G100:Q100" si="20">SUM(G91:G95,G97:G98)</f>
        <v>913.35146999999995</v>
      </c>
      <c r="H100" s="70">
        <f t="shared" si="20"/>
        <v>16916.031469999998</v>
      </c>
      <c r="I100" s="70">
        <f t="shared" si="20"/>
        <v>0</v>
      </c>
      <c r="J100" s="70">
        <f t="shared" si="20"/>
        <v>113.63999999999999</v>
      </c>
      <c r="K100" s="70">
        <f t="shared" si="20"/>
        <v>0</v>
      </c>
      <c r="L100" s="70">
        <f t="shared" si="20"/>
        <v>17715.742939999996</v>
      </c>
      <c r="M100" s="70">
        <f t="shared" si="20"/>
        <v>664.52</v>
      </c>
      <c r="N100" s="70">
        <f t="shared" si="20"/>
        <v>17051.22294</v>
      </c>
      <c r="O100" s="70">
        <f t="shared" si="20"/>
        <v>0</v>
      </c>
      <c r="P100" s="70">
        <f t="shared" si="20"/>
        <v>0</v>
      </c>
      <c r="Q100" s="70">
        <f t="shared" si="20"/>
        <v>17051.22294</v>
      </c>
    </row>
    <row r="101" spans="1:17">
      <c r="A101" s="150" t="s">
        <v>355</v>
      </c>
      <c r="B101" s="48"/>
      <c r="C101" s="48"/>
      <c r="D101" s="43"/>
      <c r="E101" s="173"/>
      <c r="F101" s="64">
        <v>6126955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</row>
    <row r="102" spans="1:17">
      <c r="A102" s="151" t="s">
        <v>30</v>
      </c>
      <c r="B102" s="51"/>
      <c r="C102" s="51"/>
      <c r="D102" s="52"/>
      <c r="E102" s="173"/>
      <c r="F102" s="152">
        <f>F100-F101</f>
        <v>19993.975916953757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1:17">
      <c r="A103" s="54" t="s">
        <v>142</v>
      </c>
      <c r="B103" s="51"/>
      <c r="C103" s="51"/>
      <c r="D103" s="52"/>
      <c r="E103" s="203"/>
      <c r="F103" s="52"/>
      <c r="G103" s="64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1:17">
      <c r="A104" s="47"/>
      <c r="B104" s="48"/>
      <c r="C104" s="48"/>
      <c r="D104" s="43"/>
      <c r="E104" s="65">
        <v>1909061</v>
      </c>
      <c r="F104" s="4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</row>
    <row r="105" spans="1:17">
      <c r="A105" s="49" t="s">
        <v>15</v>
      </c>
      <c r="B105" s="48">
        <v>0.05</v>
      </c>
      <c r="C105" s="48">
        <v>0</v>
      </c>
      <c r="D105" s="43">
        <v>1315</v>
      </c>
      <c r="E105" s="223">
        <f>G105/B105*100</f>
        <v>303639.99999999994</v>
      </c>
      <c r="F105" s="43">
        <v>60515902</v>
      </c>
      <c r="G105" s="53">
        <v>151.82</v>
      </c>
      <c r="H105" s="53">
        <v>30300.94</v>
      </c>
      <c r="I105" s="53">
        <v>0</v>
      </c>
      <c r="J105" s="53">
        <v>194.75</v>
      </c>
      <c r="K105" s="53">
        <v>0</v>
      </c>
      <c r="L105" s="53">
        <f>G105+H105+I105-J105+K105</f>
        <v>30258.01</v>
      </c>
      <c r="M105" s="53">
        <v>2759.65</v>
      </c>
      <c r="N105" s="53">
        <f>L105-M105</f>
        <v>27498.359999999997</v>
      </c>
      <c r="O105" s="53">
        <v>0</v>
      </c>
      <c r="P105" s="53">
        <v>0</v>
      </c>
      <c r="Q105" s="53">
        <f>N105-O105-P105</f>
        <v>27498.359999999997</v>
      </c>
    </row>
    <row r="106" spans="1:17">
      <c r="A106" s="47" t="s">
        <v>16</v>
      </c>
      <c r="B106" s="48">
        <f>B105</f>
        <v>0.05</v>
      </c>
      <c r="C106" s="48">
        <f>C105</f>
        <v>0</v>
      </c>
      <c r="D106" s="43"/>
      <c r="E106" s="173"/>
      <c r="F106" s="65">
        <f>IF(E104&gt;E105,E104-E105,0)</f>
        <v>1605421</v>
      </c>
      <c r="G106" s="53">
        <f>F106*(B106-C106)/100</f>
        <v>802.71050000000002</v>
      </c>
      <c r="H106" s="53"/>
      <c r="I106" s="53">
        <f>F106*C106/100</f>
        <v>0</v>
      </c>
      <c r="J106" s="53"/>
      <c r="K106" s="53"/>
      <c r="L106" s="53">
        <f>G106+H106+I106-J106+K106</f>
        <v>802.71050000000002</v>
      </c>
      <c r="M106" s="53"/>
      <c r="N106" s="53">
        <f>L106-M106</f>
        <v>802.71050000000002</v>
      </c>
      <c r="O106" s="53"/>
      <c r="P106" s="53"/>
      <c r="Q106" s="53">
        <f>N106-O106-P106</f>
        <v>802.71050000000002</v>
      </c>
    </row>
    <row r="107" spans="1:17">
      <c r="A107" s="47" t="s">
        <v>17</v>
      </c>
      <c r="B107" s="48">
        <f>B105</f>
        <v>0.05</v>
      </c>
      <c r="C107" s="48">
        <f>C105</f>
        <v>0</v>
      </c>
      <c r="D107" s="43"/>
      <c r="E107" s="173"/>
      <c r="F107" s="66">
        <v>4148628</v>
      </c>
      <c r="G107" s="53"/>
      <c r="H107" s="53">
        <f>F107*(B107-C107)/100</f>
        <v>2074.3140000000003</v>
      </c>
      <c r="I107" s="53">
        <f>F107*C107/100</f>
        <v>0</v>
      </c>
      <c r="J107" s="53">
        <v>0</v>
      </c>
      <c r="K107" s="53">
        <v>0</v>
      </c>
      <c r="L107" s="53">
        <f>G107+H107+I107-J107+K107</f>
        <v>2074.3140000000003</v>
      </c>
      <c r="M107" s="53">
        <v>0</v>
      </c>
      <c r="N107" s="53">
        <f>L107-M107</f>
        <v>2074.3140000000003</v>
      </c>
      <c r="O107" s="53">
        <v>0</v>
      </c>
      <c r="P107" s="53">
        <v>0</v>
      </c>
      <c r="Q107" s="53">
        <f>N107-O107-P107</f>
        <v>2074.3140000000003</v>
      </c>
    </row>
    <row r="108" spans="1:17">
      <c r="A108" s="47" t="s">
        <v>18</v>
      </c>
      <c r="B108" s="48"/>
      <c r="C108" s="48"/>
      <c r="D108" s="43"/>
      <c r="E108" s="173"/>
      <c r="F108" s="4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1:17">
      <c r="A109" s="67" t="s">
        <v>19</v>
      </c>
      <c r="B109" s="48">
        <f>B105</f>
        <v>0.05</v>
      </c>
      <c r="C109" s="48">
        <f>C105</f>
        <v>0</v>
      </c>
      <c r="D109" s="43"/>
      <c r="E109" s="173"/>
      <c r="F109" s="43">
        <v>5118554.97</v>
      </c>
      <c r="G109" s="53">
        <v>82.49</v>
      </c>
      <c r="H109" s="53">
        <v>2476.83</v>
      </c>
      <c r="I109" s="53">
        <v>0</v>
      </c>
      <c r="J109" s="53">
        <v>62.2</v>
      </c>
      <c r="K109" s="53">
        <v>0</v>
      </c>
      <c r="L109" s="53">
        <f>G109+H109+I109-J109+K109</f>
        <v>2497.12</v>
      </c>
      <c r="M109" s="53">
        <v>113.67</v>
      </c>
      <c r="N109" s="53">
        <f>L109-M109</f>
        <v>2383.4499999999998</v>
      </c>
      <c r="O109" s="53">
        <v>0</v>
      </c>
      <c r="P109" s="53">
        <v>0</v>
      </c>
      <c r="Q109" s="53">
        <f>N109-O109-P109</f>
        <v>2383.4499999999998</v>
      </c>
    </row>
    <row r="110" spans="1:17">
      <c r="A110" s="67" t="s">
        <v>20</v>
      </c>
      <c r="B110" s="48">
        <f>B105</f>
        <v>0.05</v>
      </c>
      <c r="C110" s="48">
        <f>C105</f>
        <v>0</v>
      </c>
      <c r="D110" s="43"/>
      <c r="E110" s="173"/>
      <c r="F110" s="43">
        <v>660429.49</v>
      </c>
      <c r="G110" s="53">
        <v>327.83</v>
      </c>
      <c r="H110" s="53">
        <v>2.3199999999999998</v>
      </c>
      <c r="I110" s="53">
        <v>0</v>
      </c>
      <c r="J110" s="53">
        <v>0</v>
      </c>
      <c r="K110" s="53">
        <v>0</v>
      </c>
      <c r="L110" s="53">
        <f>G110+H110+I110-J110+K110</f>
        <v>330.15</v>
      </c>
      <c r="M110" s="53">
        <v>0</v>
      </c>
      <c r="N110" s="53">
        <f>L110-M110</f>
        <v>330.15</v>
      </c>
      <c r="O110" s="53">
        <v>0</v>
      </c>
      <c r="P110" s="53">
        <v>0</v>
      </c>
      <c r="Q110" s="53">
        <f>N110-O110-P110</f>
        <v>330.15</v>
      </c>
    </row>
    <row r="111" spans="1:17">
      <c r="A111" s="47"/>
      <c r="B111" s="48"/>
      <c r="C111" s="48"/>
      <c r="D111" s="43"/>
      <c r="E111" s="173"/>
      <c r="F111" s="4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17" s="50" customFormat="1" ht="13.5" thickBot="1">
      <c r="A112" s="60" t="str">
        <f>"TOTAL "&amp;A103</f>
        <v>TOTAL BATTLE MOUNTAIN TOWN</v>
      </c>
      <c r="B112" s="68">
        <f>B105</f>
        <v>0.05</v>
      </c>
      <c r="C112" s="68">
        <f>C105</f>
        <v>0</v>
      </c>
      <c r="D112" s="69">
        <f t="shared" ref="D112:Q112" si="21">SUM(D105:D107,D109:D110)</f>
        <v>1315</v>
      </c>
      <c r="E112" s="204"/>
      <c r="F112" s="69">
        <f t="shared" si="21"/>
        <v>72048935.459999993</v>
      </c>
      <c r="G112" s="70">
        <f t="shared" si="21"/>
        <v>1364.8505</v>
      </c>
      <c r="H112" s="70">
        <f t="shared" si="21"/>
        <v>34854.404000000002</v>
      </c>
      <c r="I112" s="70">
        <f t="shared" si="21"/>
        <v>0</v>
      </c>
      <c r="J112" s="70">
        <f t="shared" si="21"/>
        <v>256.95</v>
      </c>
      <c r="K112" s="70">
        <f t="shared" si="21"/>
        <v>0</v>
      </c>
      <c r="L112" s="70">
        <f t="shared" si="21"/>
        <v>35962.304500000006</v>
      </c>
      <c r="M112" s="70">
        <f t="shared" si="21"/>
        <v>2873.32</v>
      </c>
      <c r="N112" s="70">
        <f t="shared" si="21"/>
        <v>33088.984499999999</v>
      </c>
      <c r="O112" s="70">
        <f t="shared" si="21"/>
        <v>0</v>
      </c>
      <c r="P112" s="70">
        <f t="shared" si="21"/>
        <v>0</v>
      </c>
      <c r="Q112" s="70">
        <f t="shared" si="21"/>
        <v>33088.984499999999</v>
      </c>
    </row>
    <row r="113" spans="1:17">
      <c r="A113" s="150" t="s">
        <v>355</v>
      </c>
      <c r="B113" s="48"/>
      <c r="C113" s="48"/>
      <c r="D113" s="43"/>
      <c r="E113" s="173"/>
      <c r="F113" s="64">
        <v>71924637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>
      <c r="A114" s="151" t="s">
        <v>30</v>
      </c>
      <c r="B114" s="51"/>
      <c r="C114" s="51"/>
      <c r="D114" s="52"/>
      <c r="E114" s="203"/>
      <c r="F114" s="152">
        <f>F112-F113</f>
        <v>124298.45999999344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1:17">
      <c r="A115" s="54" t="s">
        <v>143</v>
      </c>
      <c r="B115" s="48"/>
      <c r="C115" s="48"/>
      <c r="D115" s="43"/>
      <c r="E115" s="173"/>
      <c r="F115" s="43"/>
      <c r="G115" s="64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17">
      <c r="A116" s="47"/>
      <c r="B116" s="48"/>
      <c r="C116" s="48"/>
      <c r="D116" s="43"/>
      <c r="E116" s="65">
        <v>122733</v>
      </c>
      <c r="F116" s="4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>
      <c r="A117" s="49" t="s">
        <v>15</v>
      </c>
      <c r="B117" s="48">
        <v>0.30480000000000002</v>
      </c>
      <c r="C117" s="48">
        <v>0</v>
      </c>
      <c r="D117" s="43">
        <v>811</v>
      </c>
      <c r="E117" s="223">
        <f>G117/B117*100</f>
        <v>1788.0577427821522</v>
      </c>
      <c r="F117" s="43">
        <v>6339596</v>
      </c>
      <c r="G117" s="53">
        <v>5.45</v>
      </c>
      <c r="H117" s="53">
        <v>19509.13</v>
      </c>
      <c r="I117" s="53">
        <v>0</v>
      </c>
      <c r="J117" s="53">
        <v>191.93</v>
      </c>
      <c r="K117" s="53">
        <v>0</v>
      </c>
      <c r="L117" s="53">
        <f>G117+H117+I117-J117+K117</f>
        <v>19322.650000000001</v>
      </c>
      <c r="M117" s="53">
        <v>890.55</v>
      </c>
      <c r="N117" s="53">
        <f>L117-M117</f>
        <v>18432.100000000002</v>
      </c>
      <c r="O117" s="53">
        <v>0</v>
      </c>
      <c r="P117" s="53">
        <v>0</v>
      </c>
      <c r="Q117" s="53">
        <f>N117-O117-P117</f>
        <v>18432.100000000002</v>
      </c>
    </row>
    <row r="118" spans="1:17">
      <c r="A118" s="47" t="s">
        <v>16</v>
      </c>
      <c r="B118" s="48">
        <f>B117</f>
        <v>0.30480000000000002</v>
      </c>
      <c r="C118" s="48">
        <f>C117</f>
        <v>0</v>
      </c>
      <c r="D118" s="43"/>
      <c r="E118" s="173"/>
      <c r="F118" s="65">
        <f>IF(E116&gt;E117,E116-E117,0)</f>
        <v>120944.94225721784</v>
      </c>
      <c r="G118" s="53">
        <f>F118*(B118-C118)/100</f>
        <v>368.64018400000003</v>
      </c>
      <c r="H118" s="53"/>
      <c r="I118" s="53">
        <f>F118*C118/100</f>
        <v>0</v>
      </c>
      <c r="J118" s="53"/>
      <c r="K118" s="53"/>
      <c r="L118" s="53">
        <f>G118+H118+I118-J118+K118</f>
        <v>368.64018400000003</v>
      </c>
      <c r="M118" s="53"/>
      <c r="N118" s="53">
        <f>L118-M118</f>
        <v>368.64018400000003</v>
      </c>
      <c r="O118" s="53"/>
      <c r="P118" s="53"/>
      <c r="Q118" s="53">
        <f>N118-O118-P118</f>
        <v>368.64018400000003</v>
      </c>
    </row>
    <row r="119" spans="1:17">
      <c r="A119" s="47" t="s">
        <v>17</v>
      </c>
      <c r="B119" s="48">
        <f>B117</f>
        <v>0.30480000000000002</v>
      </c>
      <c r="C119" s="48">
        <f>C117</f>
        <v>0</v>
      </c>
      <c r="D119" s="43"/>
      <c r="E119" s="173"/>
      <c r="F119" s="66">
        <v>122441</v>
      </c>
      <c r="G119" s="53"/>
      <c r="H119" s="53">
        <f>F119*(B119-C119)/100</f>
        <v>373.20016800000008</v>
      </c>
      <c r="I119" s="53">
        <f>F119*C119/100</f>
        <v>0</v>
      </c>
      <c r="J119" s="53">
        <v>0</v>
      </c>
      <c r="K119" s="53">
        <v>0</v>
      </c>
      <c r="L119" s="53">
        <f>G119+H119+I119-J119+K119</f>
        <v>373.20016800000008</v>
      </c>
      <c r="M119" s="53">
        <v>0</v>
      </c>
      <c r="N119" s="53">
        <f>L119-M119</f>
        <v>373.20016800000008</v>
      </c>
      <c r="O119" s="53">
        <v>0</v>
      </c>
      <c r="P119" s="53">
        <v>0</v>
      </c>
      <c r="Q119" s="53">
        <f>N119-O119-P119</f>
        <v>373.20016800000008</v>
      </c>
    </row>
    <row r="120" spans="1:17">
      <c r="A120" s="47" t="s">
        <v>18</v>
      </c>
      <c r="B120" s="48"/>
      <c r="C120" s="48"/>
      <c r="D120" s="43"/>
      <c r="E120" s="173"/>
      <c r="F120" s="4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>
      <c r="A121" s="67" t="s">
        <v>19</v>
      </c>
      <c r="B121" s="48">
        <f>B117</f>
        <v>0.30480000000000002</v>
      </c>
      <c r="C121" s="48">
        <f>C117</f>
        <v>0</v>
      </c>
      <c r="D121" s="43"/>
      <c r="E121" s="173"/>
      <c r="F121" s="43">
        <v>570703.22</v>
      </c>
      <c r="G121" s="53">
        <v>63.81</v>
      </c>
      <c r="H121" s="53">
        <v>1675.91</v>
      </c>
      <c r="I121" s="53">
        <v>0</v>
      </c>
      <c r="J121" s="53">
        <v>73.040000000000006</v>
      </c>
      <c r="K121" s="53">
        <v>0</v>
      </c>
      <c r="L121" s="53">
        <f>G121+H121+I121-J121+K121</f>
        <v>1666.68</v>
      </c>
      <c r="M121" s="53">
        <v>127.1</v>
      </c>
      <c r="N121" s="53">
        <f>L121-M121</f>
        <v>1539.5800000000002</v>
      </c>
      <c r="O121" s="53">
        <v>0</v>
      </c>
      <c r="P121" s="53">
        <v>0</v>
      </c>
      <c r="Q121" s="53">
        <f>N121-O121-P121</f>
        <v>1539.5800000000002</v>
      </c>
    </row>
    <row r="122" spans="1:17">
      <c r="A122" s="67" t="s">
        <v>20</v>
      </c>
      <c r="B122" s="48">
        <f>B117</f>
        <v>0.30480000000000002</v>
      </c>
      <c r="C122" s="48">
        <f>C117</f>
        <v>0</v>
      </c>
      <c r="D122" s="43"/>
      <c r="E122" s="173"/>
      <c r="F122" s="43">
        <v>140700.95000000001</v>
      </c>
      <c r="G122" s="53">
        <v>428.86</v>
      </c>
      <c r="H122" s="53"/>
      <c r="I122" s="53">
        <v>0</v>
      </c>
      <c r="J122" s="53">
        <v>0</v>
      </c>
      <c r="K122" s="53">
        <v>0</v>
      </c>
      <c r="L122" s="53">
        <f>G122+H122+I122-J122+K122</f>
        <v>428.86</v>
      </c>
      <c r="M122" s="53">
        <v>0</v>
      </c>
      <c r="N122" s="53">
        <f>L122-M122</f>
        <v>428.86</v>
      </c>
      <c r="O122" s="53">
        <v>0</v>
      </c>
      <c r="P122" s="53">
        <v>0</v>
      </c>
      <c r="Q122" s="53">
        <f>N122-O122-P122</f>
        <v>428.86</v>
      </c>
    </row>
    <row r="123" spans="1:17">
      <c r="A123" s="47"/>
      <c r="B123" s="48"/>
      <c r="C123" s="48"/>
      <c r="D123" s="43"/>
      <c r="E123" s="173"/>
      <c r="F123" s="4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0" customFormat="1" ht="13.5" thickBot="1">
      <c r="A124" s="60" t="str">
        <f>"TOTAL "&amp;A115</f>
        <v>TOTAL KINGSTON TOWN</v>
      </c>
      <c r="B124" s="68">
        <f>B117</f>
        <v>0.30480000000000002</v>
      </c>
      <c r="C124" s="68">
        <f>C117</f>
        <v>0</v>
      </c>
      <c r="D124" s="69">
        <f t="shared" ref="D124:Q124" si="22">SUM(D117:D119,D121:D122)</f>
        <v>811</v>
      </c>
      <c r="E124" s="204"/>
      <c r="F124" s="69">
        <f t="shared" si="22"/>
        <v>7294386.112257218</v>
      </c>
      <c r="G124" s="70">
        <f t="shared" si="22"/>
        <v>866.76018399999998</v>
      </c>
      <c r="H124" s="70">
        <f t="shared" si="22"/>
        <v>21558.240168</v>
      </c>
      <c r="I124" s="70">
        <f t="shared" si="22"/>
        <v>0</v>
      </c>
      <c r="J124" s="70">
        <f t="shared" si="22"/>
        <v>264.97000000000003</v>
      </c>
      <c r="K124" s="70">
        <f t="shared" si="22"/>
        <v>0</v>
      </c>
      <c r="L124" s="70">
        <f t="shared" si="22"/>
        <v>22160.030352000002</v>
      </c>
      <c r="M124" s="70">
        <f t="shared" si="22"/>
        <v>1017.65</v>
      </c>
      <c r="N124" s="70">
        <f t="shared" si="22"/>
        <v>21142.380352000004</v>
      </c>
      <c r="O124" s="70">
        <f t="shared" si="22"/>
        <v>0</v>
      </c>
      <c r="P124" s="70">
        <f t="shared" si="22"/>
        <v>0</v>
      </c>
      <c r="Q124" s="70">
        <f t="shared" si="22"/>
        <v>21142.380352000004</v>
      </c>
    </row>
    <row r="125" spans="1:17">
      <c r="A125" s="150" t="s">
        <v>355</v>
      </c>
      <c r="B125" s="48"/>
      <c r="C125" s="48"/>
      <c r="D125" s="43"/>
      <c r="E125" s="173"/>
      <c r="F125" s="64">
        <v>7270495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1:17">
      <c r="A126" s="151" t="s">
        <v>30</v>
      </c>
      <c r="B126" s="51"/>
      <c r="C126" s="51"/>
      <c r="D126" s="52"/>
      <c r="E126" s="203"/>
      <c r="F126" s="152">
        <f>F124-F125</f>
        <v>23891.112257217988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</row>
    <row r="127" spans="1:17">
      <c r="A127" s="54" t="s">
        <v>144</v>
      </c>
      <c r="B127" s="48"/>
      <c r="C127" s="48"/>
      <c r="D127" s="43"/>
      <c r="E127" s="173"/>
      <c r="F127" s="43"/>
      <c r="G127" s="64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1:17">
      <c r="A128" s="47"/>
      <c r="B128" s="48"/>
      <c r="C128" s="48"/>
      <c r="D128" s="43"/>
      <c r="E128" s="65">
        <v>78547889</v>
      </c>
      <c r="F128" s="4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</row>
    <row r="129" spans="1:17">
      <c r="A129" s="49" t="s">
        <v>15</v>
      </c>
      <c r="B129" s="48">
        <v>0.51090000000000002</v>
      </c>
      <c r="C129" s="48">
        <v>0</v>
      </c>
      <c r="D129" s="43">
        <v>6774</v>
      </c>
      <c r="E129" s="173">
        <f>G129/B129*100</f>
        <v>1131808.5731062829</v>
      </c>
      <c r="F129" s="43">
        <v>271701543</v>
      </c>
      <c r="G129" s="53">
        <v>5782.41</v>
      </c>
      <c r="H129" s="53">
        <v>1672290.24</v>
      </c>
      <c r="I129" s="53">
        <v>0</v>
      </c>
      <c r="J129" s="53">
        <v>289950.37</v>
      </c>
      <c r="K129" s="53">
        <v>14.14</v>
      </c>
      <c r="L129" s="53">
        <f>G129+H129+I129-J129+K129</f>
        <v>1388136.4199999997</v>
      </c>
      <c r="M129" s="53">
        <v>84774.61</v>
      </c>
      <c r="N129" s="53">
        <f>L129-M129</f>
        <v>1303361.8099999996</v>
      </c>
      <c r="O129" s="53">
        <v>0</v>
      </c>
      <c r="P129" s="53">
        <v>0</v>
      </c>
      <c r="Q129" s="53">
        <f>N129-O129-P129</f>
        <v>1303361.8099999996</v>
      </c>
    </row>
    <row r="130" spans="1:17">
      <c r="A130" s="47" t="s">
        <v>16</v>
      </c>
      <c r="B130" s="48">
        <f>B129</f>
        <v>0.51090000000000002</v>
      </c>
      <c r="C130" s="48">
        <f>C129</f>
        <v>0</v>
      </c>
      <c r="D130" s="43"/>
      <c r="E130" s="173"/>
      <c r="F130" s="65">
        <f>IF(E128&gt;E129,E128-E129,0)</f>
        <v>77416080.426893711</v>
      </c>
      <c r="G130" s="53">
        <f>F130*(B130-C130)/100</f>
        <v>395518.75490099995</v>
      </c>
      <c r="H130" s="53"/>
      <c r="I130" s="53">
        <f>F130*C130/100</f>
        <v>0</v>
      </c>
      <c r="J130" s="53"/>
      <c r="K130" s="53"/>
      <c r="L130" s="53">
        <f>G130+H130+I130-J130+K130</f>
        <v>395518.75490099995</v>
      </c>
      <c r="M130" s="53"/>
      <c r="N130" s="53">
        <f>L130-M130</f>
        <v>395518.75490099995</v>
      </c>
      <c r="O130" s="53"/>
      <c r="P130" s="53"/>
      <c r="Q130" s="53">
        <f>N130-O130-P130</f>
        <v>395518.75490099995</v>
      </c>
    </row>
    <row r="131" spans="1:17">
      <c r="A131" s="47" t="s">
        <v>17</v>
      </c>
      <c r="B131" s="48">
        <f>B129</f>
        <v>0.51090000000000002</v>
      </c>
      <c r="C131" s="48">
        <f>C129</f>
        <v>0</v>
      </c>
      <c r="D131" s="43"/>
      <c r="E131" s="173"/>
      <c r="F131" s="66">
        <v>389537366</v>
      </c>
      <c r="G131" s="53"/>
      <c r="H131" s="53">
        <f>F131*(B131-C131)/100</f>
        <v>1990146.4028940001</v>
      </c>
      <c r="I131" s="53">
        <f>F131*C131/100</f>
        <v>0</v>
      </c>
      <c r="J131" s="53">
        <v>0</v>
      </c>
      <c r="K131" s="53">
        <v>0</v>
      </c>
      <c r="L131" s="53">
        <f>G131+H131+I131-J131+K131</f>
        <v>1990146.4028940001</v>
      </c>
      <c r="M131" s="53">
        <v>0</v>
      </c>
      <c r="N131" s="53">
        <f>L131-M131</f>
        <v>1990146.4028940001</v>
      </c>
      <c r="O131" s="53">
        <v>0</v>
      </c>
      <c r="P131" s="53">
        <v>0</v>
      </c>
      <c r="Q131" s="53">
        <f>N131-O131-P131</f>
        <v>1990146.4028940001</v>
      </c>
    </row>
    <row r="132" spans="1:17">
      <c r="A132" s="47" t="s">
        <v>18</v>
      </c>
      <c r="B132" s="48"/>
      <c r="C132" s="48"/>
      <c r="D132" s="43"/>
      <c r="E132" s="173"/>
      <c r="F132" s="4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</row>
    <row r="133" spans="1:17">
      <c r="A133" s="67" t="s">
        <v>19</v>
      </c>
      <c r="B133" s="48">
        <f>B129</f>
        <v>0.51090000000000002</v>
      </c>
      <c r="C133" s="48">
        <f>C129</f>
        <v>0</v>
      </c>
      <c r="D133" s="43"/>
      <c r="E133" s="173"/>
      <c r="F133" s="43">
        <v>83205182.760000005</v>
      </c>
      <c r="G133" s="53">
        <v>63950.07</v>
      </c>
      <c r="H133" s="53">
        <v>361207.18</v>
      </c>
      <c r="I133" s="53">
        <v>0</v>
      </c>
      <c r="J133" s="53">
        <v>12132.75</v>
      </c>
      <c r="K133" s="53">
        <v>0</v>
      </c>
      <c r="L133" s="53">
        <f>G133+H133+I133-J133+K133</f>
        <v>413024.5</v>
      </c>
      <c r="M133" s="53">
        <v>16123.37</v>
      </c>
      <c r="N133" s="53">
        <f>L133-M133</f>
        <v>396901.13</v>
      </c>
      <c r="O133" s="53">
        <v>0</v>
      </c>
      <c r="P133" s="53">
        <v>38200</v>
      </c>
      <c r="Q133" s="53">
        <f>N133-O133-P133</f>
        <v>358701.13</v>
      </c>
    </row>
    <row r="134" spans="1:17">
      <c r="A134" s="67" t="s">
        <v>20</v>
      </c>
      <c r="B134" s="48">
        <f>B129</f>
        <v>0.51090000000000002</v>
      </c>
      <c r="C134" s="48">
        <f>C129</f>
        <v>0</v>
      </c>
      <c r="D134" s="43"/>
      <c r="E134" s="173"/>
      <c r="F134" s="43">
        <v>10772234.189999999</v>
      </c>
      <c r="G134" s="53">
        <v>53946.9</v>
      </c>
      <c r="H134" s="53">
        <v>1088.3800000000001</v>
      </c>
      <c r="I134" s="53">
        <v>0</v>
      </c>
      <c r="J134" s="53">
        <v>0</v>
      </c>
      <c r="K134" s="53">
        <v>0</v>
      </c>
      <c r="L134" s="53">
        <f>G134+H134+I134-J134+K134</f>
        <v>55035.28</v>
      </c>
      <c r="M134" s="53">
        <v>1.58</v>
      </c>
      <c r="N134" s="53">
        <f>L134-M134</f>
        <v>55033.7</v>
      </c>
      <c r="O134" s="53">
        <v>0</v>
      </c>
      <c r="P134" s="53"/>
      <c r="Q134" s="53">
        <f>N134-O134-P134</f>
        <v>55033.7</v>
      </c>
    </row>
    <row r="135" spans="1:17">
      <c r="A135" s="47"/>
      <c r="B135" s="48"/>
      <c r="C135" s="48"/>
      <c r="D135" s="43"/>
      <c r="E135" s="173"/>
      <c r="F135" s="4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1:17" s="50" customFormat="1" ht="13.5" thickBot="1">
      <c r="A136" s="60" t="str">
        <f>"TOTAL "&amp;A127</f>
        <v>TOTAL LANDER CO HOSPITAL DISTRICT</v>
      </c>
      <c r="B136" s="68">
        <f>B129</f>
        <v>0.51090000000000002</v>
      </c>
      <c r="C136" s="68">
        <f>C129</f>
        <v>0</v>
      </c>
      <c r="D136" s="69">
        <f t="shared" ref="D136:Q136" si="23">SUM(D129:D131,D133:D134)</f>
        <v>6774</v>
      </c>
      <c r="E136" s="204"/>
      <c r="F136" s="69">
        <f t="shared" si="23"/>
        <v>832632406.37689376</v>
      </c>
      <c r="G136" s="70">
        <f t="shared" si="23"/>
        <v>519198.13490099995</v>
      </c>
      <c r="H136" s="70">
        <f t="shared" si="23"/>
        <v>4024732.2028939999</v>
      </c>
      <c r="I136" s="70">
        <f t="shared" si="23"/>
        <v>0</v>
      </c>
      <c r="J136" s="70">
        <f t="shared" si="23"/>
        <v>302083.12</v>
      </c>
      <c r="K136" s="70">
        <f t="shared" si="23"/>
        <v>14.14</v>
      </c>
      <c r="L136" s="70">
        <f t="shared" si="23"/>
        <v>4241861.3577950001</v>
      </c>
      <c r="M136" s="70">
        <f t="shared" si="23"/>
        <v>100899.56</v>
      </c>
      <c r="N136" s="70">
        <f t="shared" si="23"/>
        <v>4140961.7977949996</v>
      </c>
      <c r="O136" s="70">
        <f t="shared" si="23"/>
        <v>0</v>
      </c>
      <c r="P136" s="70">
        <f t="shared" si="23"/>
        <v>38200</v>
      </c>
      <c r="Q136" s="70">
        <f t="shared" si="23"/>
        <v>4102761.7977949996</v>
      </c>
    </row>
    <row r="137" spans="1:17">
      <c r="A137" s="150" t="s">
        <v>355</v>
      </c>
      <c r="B137" s="48"/>
      <c r="C137" s="48"/>
      <c r="D137" s="43"/>
      <c r="E137" s="173"/>
      <c r="F137" s="64">
        <v>830269861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1:17">
      <c r="A138" s="151" t="s">
        <v>30</v>
      </c>
      <c r="B138" s="51"/>
      <c r="C138" s="51"/>
      <c r="D138" s="52"/>
      <c r="E138" s="203"/>
      <c r="F138" s="152">
        <f>F136-F137</f>
        <v>2362545.3768937588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</row>
    <row r="139" spans="1:17">
      <c r="A139" s="54"/>
      <c r="G139" s="43"/>
      <c r="H139" s="53"/>
      <c r="I139" s="53"/>
      <c r="J139" s="53"/>
      <c r="K139" s="53"/>
      <c r="L139" s="53"/>
      <c r="M139" s="53"/>
      <c r="N139" s="53"/>
      <c r="O139" s="53"/>
      <c r="P139" s="53"/>
      <c r="Q139" s="53"/>
    </row>
    <row r="140" spans="1:17">
      <c r="E140" s="17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</row>
    <row r="141" spans="1:17">
      <c r="B141" s="48"/>
      <c r="C141" s="48"/>
      <c r="D141" s="43"/>
      <c r="E141" s="173"/>
      <c r="F141" s="4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</row>
    <row r="142" spans="1:17">
      <c r="A142" s="47"/>
      <c r="B142" s="48"/>
      <c r="C142" s="48"/>
      <c r="D142" s="43"/>
      <c r="E142" s="173"/>
      <c r="F142" s="49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</row>
    <row r="143" spans="1:17">
      <c r="A143" s="47"/>
      <c r="B143" s="48"/>
      <c r="C143" s="48"/>
      <c r="D143" s="43"/>
      <c r="E143" s="173"/>
      <c r="F143" s="4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1:17">
      <c r="A144" s="47"/>
      <c r="B144" s="48"/>
      <c r="C144" s="48"/>
      <c r="D144" s="43"/>
      <c r="E144" s="173"/>
      <c r="F144" s="4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</row>
    <row r="145" spans="1:17">
      <c r="A145" s="67"/>
      <c r="B145" s="48"/>
      <c r="C145" s="48"/>
      <c r="D145" s="43"/>
      <c r="E145" s="173"/>
      <c r="F145" s="4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1:17">
      <c r="A146" s="67"/>
      <c r="B146" s="48"/>
      <c r="C146" s="48"/>
      <c r="D146" s="43"/>
      <c r="E146" s="173"/>
      <c r="F146" s="4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1:17">
      <c r="A147" s="47"/>
      <c r="B147" s="48"/>
      <c r="C147" s="48"/>
      <c r="D147" s="43"/>
      <c r="E147" s="173"/>
      <c r="F147" s="4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1:17" s="50" customFormat="1">
      <c r="A148" s="57"/>
      <c r="B148" s="51"/>
      <c r="C148" s="51"/>
      <c r="D148" s="52"/>
      <c r="E148" s="203"/>
      <c r="F148" s="52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</row>
    <row r="149" spans="1:17">
      <c r="A149" s="150"/>
      <c r="B149" s="48"/>
      <c r="C149" s="48"/>
      <c r="D149" s="43"/>
      <c r="E149" s="173"/>
      <c r="F149" s="64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1:17">
      <c r="A150" s="151"/>
      <c r="B150" s="51"/>
      <c r="C150" s="51"/>
      <c r="D150" s="52"/>
      <c r="E150" s="203"/>
      <c r="F150" s="152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1:17">
      <c r="A151" s="54"/>
      <c r="B151" s="84"/>
      <c r="C151" s="84"/>
      <c r="D151" s="84"/>
      <c r="E151" s="210"/>
      <c r="F151" s="84"/>
      <c r="G151" s="59"/>
      <c r="H151" s="53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1:17">
      <c r="A152" s="83"/>
      <c r="B152" s="84"/>
      <c r="C152" s="84"/>
      <c r="D152" s="84"/>
      <c r="E152" s="210"/>
      <c r="F152" s="84"/>
      <c r="G152" s="59"/>
      <c r="H152" s="53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1:17">
      <c r="B153" s="48"/>
      <c r="C153" s="48"/>
      <c r="D153" s="43"/>
      <c r="E153" s="173"/>
      <c r="F153" s="4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1:17">
      <c r="A154" s="47"/>
      <c r="B154" s="48"/>
      <c r="C154" s="48"/>
      <c r="D154" s="43"/>
      <c r="E154" s="173"/>
      <c r="F154" s="4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1:17">
      <c r="A155" s="47"/>
      <c r="B155" s="48"/>
      <c r="C155" s="48"/>
      <c r="D155" s="43"/>
      <c r="E155" s="173"/>
      <c r="F155" s="4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1:17">
      <c r="A156" s="47"/>
      <c r="B156" s="48"/>
      <c r="C156" s="48"/>
      <c r="D156" s="43"/>
      <c r="E156" s="173"/>
      <c r="F156" s="4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1:17">
      <c r="A157" s="67"/>
      <c r="B157" s="48"/>
      <c r="C157" s="48"/>
      <c r="D157" s="43"/>
      <c r="E157" s="173"/>
      <c r="F157" s="4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1:17">
      <c r="A158" s="67"/>
      <c r="B158" s="48"/>
      <c r="C158" s="48"/>
      <c r="D158" s="43"/>
      <c r="E158" s="173"/>
      <c r="F158" s="4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1:17">
      <c r="A159" s="47"/>
      <c r="B159" s="48"/>
      <c r="C159" s="48"/>
      <c r="D159" s="43"/>
      <c r="E159" s="173"/>
      <c r="F159" s="4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1:17" s="50" customFormat="1">
      <c r="A160" s="57"/>
      <c r="B160" s="51"/>
      <c r="C160" s="51"/>
      <c r="D160" s="52"/>
      <c r="E160" s="203"/>
      <c r="F160" s="52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</row>
    <row r="161" spans="1:17">
      <c r="A161" s="101"/>
      <c r="B161" s="84"/>
      <c r="C161" s="84"/>
      <c r="D161" s="84"/>
      <c r="E161" s="210"/>
      <c r="F161" s="84"/>
      <c r="G161" s="59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1:17">
      <c r="A162" s="83"/>
      <c r="B162" s="84"/>
      <c r="C162" s="84"/>
      <c r="D162" s="84"/>
      <c r="E162" s="210"/>
      <c r="F162" s="84"/>
      <c r="G162" s="59"/>
      <c r="H162" s="53"/>
      <c r="I162" s="53"/>
      <c r="J162" s="53"/>
      <c r="K162" s="53"/>
      <c r="L162" s="53"/>
      <c r="M162" s="53"/>
      <c r="N162" s="53"/>
      <c r="O162" s="53"/>
      <c r="P162" s="53"/>
      <c r="Q162" s="53"/>
    </row>
    <row r="163" spans="1:17">
      <c r="A163" s="54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</row>
    <row r="164" spans="1:17">
      <c r="A164" s="50"/>
      <c r="B164" s="50"/>
      <c r="C164" s="50"/>
      <c r="D164" s="50"/>
      <c r="E164" s="211"/>
      <c r="F164" s="50"/>
      <c r="G164" s="59"/>
      <c r="H164" s="53"/>
      <c r="I164" s="53"/>
      <c r="J164" s="53"/>
      <c r="K164" s="53"/>
      <c r="L164" s="53"/>
      <c r="M164" s="53"/>
      <c r="N164" s="53"/>
      <c r="O164" s="53"/>
      <c r="P164" s="53"/>
      <c r="Q164" s="53"/>
    </row>
    <row r="165" spans="1:17">
      <c r="B165" s="48"/>
      <c r="C165" s="48"/>
      <c r="D165" s="43"/>
      <c r="E165" s="173"/>
      <c r="F165" s="4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</row>
    <row r="166" spans="1:17">
      <c r="A166" s="47"/>
      <c r="B166" s="48"/>
      <c r="C166" s="48"/>
      <c r="D166" s="43"/>
      <c r="E166" s="173"/>
      <c r="F166" s="4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</row>
    <row r="167" spans="1:17">
      <c r="A167" s="47"/>
      <c r="B167" s="48"/>
      <c r="C167" s="48"/>
      <c r="D167" s="43"/>
      <c r="E167" s="173"/>
      <c r="F167" s="4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</row>
    <row r="168" spans="1:17">
      <c r="A168" s="47"/>
      <c r="B168" s="48"/>
      <c r="C168" s="48"/>
      <c r="D168" s="43"/>
      <c r="E168" s="173"/>
      <c r="F168" s="4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1:17">
      <c r="A169" s="67"/>
      <c r="B169" s="48"/>
      <c r="C169" s="48"/>
      <c r="D169" s="43"/>
      <c r="E169" s="173"/>
      <c r="F169" s="4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1:17">
      <c r="A170" s="47"/>
      <c r="B170" s="48"/>
      <c r="C170" s="48"/>
      <c r="D170" s="43"/>
      <c r="E170" s="173"/>
      <c r="F170" s="4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</row>
    <row r="171" spans="1:17">
      <c r="A171" s="47"/>
      <c r="B171" s="48"/>
      <c r="C171" s="48"/>
      <c r="D171" s="43"/>
      <c r="E171" s="173"/>
      <c r="F171" s="4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</row>
    <row r="172" spans="1:17" s="50" customFormat="1">
      <c r="A172" s="57"/>
      <c r="B172" s="51"/>
      <c r="C172" s="51"/>
      <c r="D172" s="52"/>
      <c r="E172" s="203"/>
      <c r="F172" s="52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</row>
    <row r="173" spans="1:17"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</row>
    <row r="174" spans="1:17"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</row>
    <row r="175" spans="1:17">
      <c r="A175" s="54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</row>
    <row r="176" spans="1:17">
      <c r="A176" s="83"/>
      <c r="B176" s="84"/>
      <c r="C176" s="84"/>
      <c r="D176" s="84"/>
      <c r="E176" s="210"/>
      <c r="F176" s="84"/>
      <c r="G176" s="59"/>
      <c r="H176" s="53"/>
      <c r="I176" s="53"/>
      <c r="J176" s="53"/>
      <c r="K176" s="53"/>
      <c r="L176" s="53"/>
      <c r="M176" s="53"/>
      <c r="N176" s="53"/>
      <c r="O176" s="53"/>
      <c r="P176" s="53"/>
      <c r="Q176" s="53"/>
    </row>
    <row r="177" spans="1:17">
      <c r="B177" s="48"/>
      <c r="C177" s="48"/>
      <c r="D177" s="43"/>
      <c r="E177" s="173"/>
      <c r="F177" s="4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</row>
    <row r="178" spans="1:17">
      <c r="A178" s="47"/>
      <c r="B178" s="48"/>
      <c r="C178" s="48"/>
      <c r="D178" s="43"/>
      <c r="E178" s="173"/>
      <c r="F178" s="4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</row>
    <row r="179" spans="1:17">
      <c r="A179" s="47"/>
      <c r="B179" s="48"/>
      <c r="C179" s="48"/>
      <c r="D179" s="43"/>
      <c r="E179" s="173"/>
      <c r="F179" s="4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1:17">
      <c r="A180" s="47"/>
      <c r="B180" s="48"/>
      <c r="C180" s="48"/>
      <c r="D180" s="43"/>
      <c r="E180" s="173"/>
      <c r="F180" s="4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</row>
    <row r="181" spans="1:17">
      <c r="A181" s="67"/>
      <c r="B181" s="48"/>
      <c r="C181" s="48"/>
      <c r="D181" s="43"/>
      <c r="E181" s="173"/>
      <c r="F181" s="4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</row>
    <row r="182" spans="1:17">
      <c r="A182" s="67"/>
      <c r="B182" s="48"/>
      <c r="C182" s="48"/>
      <c r="D182" s="43"/>
      <c r="E182" s="173"/>
      <c r="F182" s="4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</row>
    <row r="183" spans="1:17">
      <c r="A183" s="47"/>
      <c r="B183" s="48"/>
      <c r="C183" s="48"/>
      <c r="D183" s="43"/>
      <c r="E183" s="173"/>
      <c r="F183" s="4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</row>
    <row r="184" spans="1:17" s="50" customFormat="1">
      <c r="A184" s="57"/>
      <c r="B184" s="51"/>
      <c r="C184" s="51"/>
      <c r="D184" s="52"/>
      <c r="E184" s="203"/>
      <c r="F184" s="52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</row>
    <row r="185" spans="1:17"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</row>
    <row r="186" spans="1:17"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</row>
    <row r="187" spans="1:17">
      <c r="A187" s="54"/>
      <c r="B187" s="50"/>
      <c r="C187" s="50"/>
      <c r="D187" s="50"/>
      <c r="E187" s="211"/>
      <c r="F187" s="50"/>
      <c r="G187" s="59"/>
      <c r="H187" s="53"/>
      <c r="I187" s="53"/>
      <c r="J187" s="53"/>
      <c r="K187" s="53"/>
      <c r="L187" s="53"/>
      <c r="M187" s="53"/>
      <c r="N187" s="53"/>
      <c r="O187" s="53"/>
      <c r="P187" s="53"/>
      <c r="Q187" s="53"/>
    </row>
    <row r="188" spans="1:17">
      <c r="A188" s="50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>
      <c r="B189" s="48"/>
      <c r="C189" s="48"/>
      <c r="D189" s="43"/>
      <c r="E189" s="173"/>
      <c r="F189" s="4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</row>
    <row r="190" spans="1:17">
      <c r="A190" s="47"/>
      <c r="B190" s="48"/>
      <c r="C190" s="48"/>
      <c r="D190" s="43"/>
      <c r="E190" s="173"/>
      <c r="F190" s="4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1:17">
      <c r="A191" s="47"/>
      <c r="B191" s="48"/>
      <c r="C191" s="48"/>
      <c r="D191" s="43"/>
      <c r="E191" s="173"/>
      <c r="F191" s="4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</row>
    <row r="192" spans="1:17">
      <c r="A192" s="47"/>
      <c r="B192" s="48"/>
      <c r="C192" s="48"/>
      <c r="D192" s="43"/>
      <c r="E192" s="173"/>
      <c r="F192" s="4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</row>
    <row r="193" spans="1:17">
      <c r="A193" s="67"/>
      <c r="B193" s="48"/>
      <c r="C193" s="48"/>
      <c r="D193" s="43"/>
      <c r="E193" s="173"/>
      <c r="F193" s="4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</row>
    <row r="194" spans="1:17">
      <c r="A194" s="47"/>
      <c r="B194" s="48"/>
      <c r="C194" s="48"/>
      <c r="D194" s="43"/>
      <c r="E194" s="173"/>
      <c r="F194" s="4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</row>
    <row r="195" spans="1:17">
      <c r="A195" s="47"/>
      <c r="B195" s="48"/>
      <c r="C195" s="48"/>
      <c r="D195" s="43"/>
      <c r="E195" s="173"/>
      <c r="F195" s="4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</row>
    <row r="196" spans="1:17" s="50" customFormat="1">
      <c r="A196" s="57"/>
      <c r="B196" s="51"/>
      <c r="C196" s="51"/>
      <c r="D196" s="52"/>
      <c r="E196" s="203"/>
      <c r="F196" s="52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</row>
    <row r="199" spans="1:17">
      <c r="A199" s="54"/>
      <c r="B199" s="50"/>
      <c r="C199" s="50"/>
      <c r="D199" s="50"/>
      <c r="E199" s="211"/>
      <c r="F199" s="50"/>
      <c r="G199" s="59"/>
      <c r="H199" s="53"/>
      <c r="I199" s="53"/>
      <c r="J199" s="53"/>
      <c r="K199" s="53"/>
      <c r="L199" s="53"/>
      <c r="M199" s="53"/>
      <c r="N199" s="53"/>
      <c r="O199" s="53"/>
      <c r="P199" s="53"/>
      <c r="Q199" s="53"/>
    </row>
    <row r="200" spans="1:17">
      <c r="A200" s="50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</row>
    <row r="201" spans="1:17">
      <c r="B201" s="48"/>
      <c r="C201" s="48"/>
      <c r="D201" s="43"/>
      <c r="E201" s="173"/>
      <c r="F201" s="4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</row>
    <row r="202" spans="1:17">
      <c r="A202" s="47"/>
      <c r="B202" s="48"/>
      <c r="C202" s="48"/>
      <c r="D202" s="43"/>
      <c r="E202" s="173"/>
      <c r="F202" s="4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</row>
    <row r="203" spans="1:17">
      <c r="A203" s="47"/>
      <c r="B203" s="48"/>
      <c r="C203" s="48"/>
      <c r="D203" s="43"/>
      <c r="E203" s="173"/>
      <c r="F203" s="4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</row>
    <row r="204" spans="1:17">
      <c r="A204" s="47"/>
      <c r="B204" s="48"/>
      <c r="C204" s="48"/>
      <c r="D204" s="43"/>
      <c r="E204" s="173"/>
      <c r="F204" s="4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</row>
    <row r="205" spans="1:17">
      <c r="A205" s="67"/>
      <c r="B205" s="48"/>
      <c r="C205" s="48"/>
      <c r="D205" s="43"/>
      <c r="E205" s="173"/>
      <c r="F205" s="4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</row>
    <row r="206" spans="1:17">
      <c r="A206" s="67"/>
      <c r="B206" s="48"/>
      <c r="C206" s="48"/>
      <c r="D206" s="43"/>
      <c r="E206" s="173"/>
      <c r="F206" s="4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</row>
    <row r="207" spans="1:17">
      <c r="A207" s="47"/>
      <c r="B207" s="48"/>
      <c r="C207" s="48"/>
      <c r="D207" s="43"/>
      <c r="E207" s="173"/>
      <c r="F207" s="4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</row>
    <row r="208" spans="1:17" s="50" customFormat="1">
      <c r="A208" s="57"/>
      <c r="B208" s="51"/>
      <c r="C208" s="51"/>
      <c r="D208" s="52"/>
      <c r="E208" s="203"/>
      <c r="F208" s="52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</row>
    <row r="210" spans="1:7" ht="12.75" customHeight="1">
      <c r="A210" s="50"/>
      <c r="B210" s="50"/>
      <c r="C210" s="50"/>
      <c r="D210" s="50"/>
      <c r="E210" s="211"/>
      <c r="F210" s="50"/>
      <c r="G210" s="50"/>
    </row>
    <row r="211" spans="1:7">
      <c r="A211" s="50"/>
    </row>
    <row r="212" spans="1:7">
      <c r="A212" s="179"/>
      <c r="B212" s="185"/>
      <c r="C212" s="185"/>
      <c r="D212" s="185"/>
      <c r="E212" s="218"/>
      <c r="F212" s="185"/>
      <c r="G212" s="185"/>
    </row>
    <row r="213" spans="1:7">
      <c r="G213" s="186"/>
    </row>
    <row r="214" spans="1:7">
      <c r="G214" s="186"/>
    </row>
    <row r="215" spans="1:7">
      <c r="G215" s="186"/>
    </row>
    <row r="216" spans="1:7">
      <c r="G216" s="186"/>
    </row>
    <row r="218" spans="1:7">
      <c r="A218" s="50"/>
      <c r="B218" s="85"/>
      <c r="C218" s="85"/>
      <c r="D218" s="85"/>
      <c r="E218" s="212"/>
      <c r="F218" s="85"/>
      <c r="G218" s="85"/>
    </row>
    <row r="220" spans="1:7">
      <c r="A220" s="179"/>
      <c r="B220" s="185"/>
      <c r="C220" s="185"/>
      <c r="D220" s="185"/>
      <c r="E220" s="218"/>
      <c r="F220" s="185"/>
      <c r="G220" s="185"/>
    </row>
    <row r="221" spans="1:7">
      <c r="G221" s="186"/>
    </row>
    <row r="222" spans="1:7">
      <c r="G222" s="186"/>
    </row>
    <row r="223" spans="1:7">
      <c r="G223" s="186"/>
    </row>
    <row r="225" spans="1:7">
      <c r="A225" s="83"/>
      <c r="B225" s="85"/>
      <c r="C225" s="85"/>
      <c r="D225" s="85"/>
      <c r="E225" s="212"/>
      <c r="F225" s="85"/>
      <c r="G225" s="85"/>
    </row>
    <row r="227" spans="1:7">
      <c r="A227" s="179"/>
      <c r="B227" s="185"/>
      <c r="C227" s="185"/>
      <c r="D227" s="185"/>
      <c r="E227" s="218"/>
      <c r="F227" s="185"/>
      <c r="G227" s="185"/>
    </row>
    <row r="228" spans="1:7">
      <c r="G228" s="186"/>
    </row>
    <row r="229" spans="1:7">
      <c r="G229" s="186"/>
    </row>
    <row r="230" spans="1:7">
      <c r="G230" s="186"/>
    </row>
    <row r="232" spans="1:7">
      <c r="A232" s="83"/>
      <c r="B232" s="85"/>
      <c r="C232" s="85"/>
      <c r="D232" s="85"/>
      <c r="E232" s="212"/>
      <c r="F232" s="85"/>
      <c r="G232" s="85"/>
    </row>
    <row r="234" spans="1:7">
      <c r="A234" s="179"/>
      <c r="B234" s="185"/>
      <c r="C234" s="185"/>
      <c r="D234" s="185"/>
      <c r="E234" s="218"/>
      <c r="F234" s="185"/>
      <c r="G234" s="185"/>
    </row>
    <row r="235" spans="1:7">
      <c r="G235" s="186"/>
    </row>
    <row r="236" spans="1:7">
      <c r="G236" s="186"/>
    </row>
    <row r="237" spans="1:7">
      <c r="G237" s="186"/>
    </row>
    <row r="239" spans="1:7">
      <c r="A239" s="83"/>
      <c r="B239" s="85"/>
      <c r="C239" s="85"/>
      <c r="D239" s="85"/>
      <c r="E239" s="212"/>
      <c r="F239" s="85"/>
      <c r="G239" s="85"/>
    </row>
    <row r="241" spans="1:7">
      <c r="A241" s="179"/>
      <c r="B241" s="185"/>
      <c r="C241" s="185"/>
      <c r="D241" s="185"/>
      <c r="E241" s="218"/>
      <c r="F241" s="185"/>
      <c r="G241" s="185"/>
    </row>
    <row r="242" spans="1:7">
      <c r="G242" s="186"/>
    </row>
    <row r="243" spans="1:7">
      <c r="G243" s="186"/>
    </row>
    <row r="244" spans="1:7">
      <c r="G244" s="186"/>
    </row>
    <row r="245" spans="1:7">
      <c r="G245" s="186"/>
    </row>
    <row r="247" spans="1:7">
      <c r="A247" s="83"/>
      <c r="B247" s="85"/>
      <c r="C247" s="85"/>
      <c r="D247" s="85"/>
      <c r="E247" s="212"/>
      <c r="F247" s="85"/>
      <c r="G247" s="85"/>
    </row>
    <row r="250" spans="1:7">
      <c r="A250" s="50"/>
      <c r="B250" s="50"/>
      <c r="C250" s="50"/>
      <c r="D250" s="50"/>
      <c r="E250" s="211"/>
      <c r="F250" s="50"/>
      <c r="G250" s="50"/>
    </row>
    <row r="251" spans="1:7">
      <c r="A251" s="50"/>
    </row>
    <row r="252" spans="1:7">
      <c r="A252" s="50"/>
      <c r="B252" s="50"/>
      <c r="C252" s="50"/>
      <c r="D252" s="50"/>
      <c r="E252" s="211"/>
      <c r="F252" s="50"/>
      <c r="G252" s="50"/>
    </row>
    <row r="258" spans="1:7">
      <c r="A258" s="50"/>
      <c r="B258" s="84"/>
      <c r="C258" s="84"/>
      <c r="D258" s="84"/>
      <c r="E258" s="210"/>
      <c r="F258" s="84"/>
      <c r="G258" s="84"/>
    </row>
    <row r="260" spans="1:7">
      <c r="A260" s="50"/>
      <c r="B260" s="50"/>
      <c r="C260" s="50"/>
      <c r="D260" s="50"/>
      <c r="E260" s="211"/>
      <c r="F260" s="50"/>
      <c r="G260" s="50"/>
    </row>
    <row r="265" spans="1:7">
      <c r="A265" s="83"/>
      <c r="B265" s="84"/>
      <c r="C265" s="84"/>
      <c r="D265" s="84"/>
      <c r="E265" s="210"/>
      <c r="F265" s="84"/>
      <c r="G265" s="84"/>
    </row>
    <row r="267" spans="1:7">
      <c r="A267" s="50"/>
      <c r="B267" s="50"/>
      <c r="C267" s="50"/>
      <c r="D267" s="50"/>
      <c r="E267" s="211"/>
      <c r="F267" s="50"/>
      <c r="G267" s="50"/>
    </row>
    <row r="272" spans="1:7">
      <c r="A272" s="83"/>
      <c r="B272" s="84"/>
      <c r="C272" s="84"/>
      <c r="D272" s="84"/>
      <c r="E272" s="210"/>
      <c r="F272" s="84"/>
      <c r="G272" s="84"/>
    </row>
    <row r="274" spans="1:7">
      <c r="A274" s="50"/>
      <c r="B274" s="50"/>
      <c r="C274" s="50"/>
      <c r="D274" s="50"/>
      <c r="E274" s="211"/>
      <c r="F274" s="50"/>
      <c r="G274" s="50"/>
    </row>
    <row r="279" spans="1:7">
      <c r="A279" s="83"/>
      <c r="B279" s="84"/>
      <c r="C279" s="84"/>
      <c r="D279" s="84"/>
      <c r="E279" s="210"/>
      <c r="F279" s="84"/>
      <c r="G279" s="84"/>
    </row>
    <row r="281" spans="1:7">
      <c r="A281" s="50"/>
      <c r="B281" s="50"/>
      <c r="C281" s="50"/>
      <c r="D281" s="50"/>
      <c r="E281" s="211"/>
      <c r="F281" s="50"/>
      <c r="G281" s="50"/>
    </row>
    <row r="287" spans="1:7">
      <c r="A287" s="83"/>
      <c r="B287" s="85"/>
      <c r="C287" s="85"/>
      <c r="D287" s="85"/>
      <c r="E287" s="212"/>
      <c r="F287" s="85"/>
      <c r="G287" s="85"/>
    </row>
    <row r="290" spans="1:7">
      <c r="A290" s="50"/>
      <c r="B290" s="50"/>
      <c r="C290" s="50"/>
      <c r="D290" s="50"/>
      <c r="E290" s="211"/>
      <c r="F290" s="50"/>
      <c r="G290" s="50"/>
    </row>
    <row r="291" spans="1:7">
      <c r="A291" s="50"/>
    </row>
    <row r="292" spans="1:7">
      <c r="A292" s="50"/>
      <c r="B292" s="50"/>
      <c r="C292" s="50"/>
      <c r="D292" s="50"/>
      <c r="E292" s="211"/>
      <c r="F292" s="50"/>
      <c r="G292" s="50"/>
    </row>
    <row r="298" spans="1:7">
      <c r="A298" s="50"/>
      <c r="B298" s="84"/>
      <c r="C298" s="84"/>
      <c r="D298" s="84"/>
      <c r="E298" s="210"/>
      <c r="F298" s="84"/>
      <c r="G298" s="84"/>
    </row>
    <row r="300" spans="1:7">
      <c r="A300" s="50"/>
      <c r="B300" s="50"/>
      <c r="C300" s="50"/>
      <c r="D300" s="50"/>
      <c r="E300" s="211"/>
      <c r="F300" s="50"/>
      <c r="G300" s="50"/>
    </row>
    <row r="305" spans="1:7">
      <c r="A305" s="83"/>
      <c r="B305" s="84"/>
      <c r="C305" s="84"/>
      <c r="D305" s="84"/>
      <c r="E305" s="210"/>
      <c r="F305" s="84"/>
      <c r="G305" s="84"/>
    </row>
    <row r="307" spans="1:7">
      <c r="A307" s="50"/>
      <c r="B307" s="50"/>
      <c r="C307" s="50"/>
      <c r="D307" s="50"/>
      <c r="E307" s="211"/>
      <c r="F307" s="50"/>
      <c r="G307" s="50"/>
    </row>
    <row r="312" spans="1:7">
      <c r="A312" s="83"/>
      <c r="B312" s="84"/>
      <c r="C312" s="84"/>
      <c r="D312" s="84"/>
      <c r="E312" s="210"/>
      <c r="F312" s="84"/>
      <c r="G312" s="84"/>
    </row>
    <row r="314" spans="1:7">
      <c r="A314" s="50"/>
      <c r="B314" s="50"/>
      <c r="C314" s="50"/>
      <c r="D314" s="50"/>
      <c r="E314" s="211"/>
      <c r="F314" s="50"/>
      <c r="G314" s="50"/>
    </row>
    <row r="319" spans="1:7">
      <c r="A319" s="83"/>
      <c r="B319" s="84"/>
      <c r="C319" s="84"/>
      <c r="D319" s="84"/>
      <c r="E319" s="210"/>
      <c r="F319" s="84"/>
      <c r="G319" s="84"/>
    </row>
    <row r="321" spans="1:7">
      <c r="A321" s="50"/>
      <c r="B321" s="50"/>
      <c r="C321" s="50"/>
      <c r="D321" s="50"/>
      <c r="E321" s="211"/>
      <c r="F321" s="50"/>
      <c r="G321" s="50"/>
    </row>
    <row r="327" spans="1:7">
      <c r="A327" s="83"/>
      <c r="B327" s="85"/>
      <c r="C327" s="85"/>
      <c r="D327" s="85"/>
      <c r="E327" s="212"/>
      <c r="F327" s="85"/>
      <c r="G327" s="85"/>
    </row>
    <row r="330" spans="1:7">
      <c r="A330" s="50"/>
      <c r="B330" s="50"/>
      <c r="C330" s="50"/>
      <c r="D330" s="50"/>
      <c r="E330" s="211"/>
      <c r="F330" s="50"/>
      <c r="G330" s="50"/>
    </row>
    <row r="331" spans="1:7">
      <c r="A331" s="50"/>
    </row>
    <row r="332" spans="1:7">
      <c r="A332" s="50"/>
      <c r="B332" s="50"/>
      <c r="C332" s="50"/>
      <c r="D332" s="50"/>
      <c r="E332" s="211"/>
      <c r="F332" s="50"/>
      <c r="G332" s="50"/>
    </row>
    <row r="338" spans="1:7">
      <c r="A338" s="50"/>
      <c r="B338" s="84"/>
      <c r="C338" s="84"/>
      <c r="D338" s="84"/>
      <c r="E338" s="210"/>
      <c r="F338" s="84"/>
      <c r="G338" s="84"/>
    </row>
    <row r="340" spans="1:7">
      <c r="A340" s="50"/>
      <c r="B340" s="50"/>
      <c r="C340" s="50"/>
      <c r="D340" s="50"/>
      <c r="E340" s="211"/>
      <c r="F340" s="50"/>
      <c r="G340" s="50"/>
    </row>
    <row r="345" spans="1:7">
      <c r="A345" s="83"/>
      <c r="B345" s="84"/>
      <c r="C345" s="84"/>
      <c r="D345" s="84"/>
      <c r="E345" s="210"/>
      <c r="F345" s="84"/>
      <c r="G345" s="84"/>
    </row>
    <row r="347" spans="1:7">
      <c r="A347" s="50"/>
      <c r="B347" s="50"/>
      <c r="C347" s="50"/>
      <c r="D347" s="50"/>
      <c r="E347" s="211"/>
      <c r="F347" s="50"/>
      <c r="G347" s="50"/>
    </row>
    <row r="352" spans="1:7">
      <c r="A352" s="83"/>
      <c r="B352" s="84"/>
      <c r="C352" s="84"/>
      <c r="D352" s="84"/>
      <c r="E352" s="210"/>
      <c r="F352" s="84"/>
      <c r="G352" s="84"/>
    </row>
    <row r="354" spans="1:7">
      <c r="A354" s="50"/>
      <c r="B354" s="50"/>
      <c r="C354" s="50"/>
      <c r="D354" s="50"/>
      <c r="E354" s="211"/>
      <c r="F354" s="50"/>
      <c r="G354" s="50"/>
    </row>
    <row r="359" spans="1:7">
      <c r="A359" s="83"/>
      <c r="B359" s="84"/>
      <c r="C359" s="84"/>
      <c r="D359" s="84"/>
      <c r="E359" s="210"/>
      <c r="F359" s="84"/>
      <c r="G359" s="84"/>
    </row>
    <row r="361" spans="1:7">
      <c r="A361" s="50"/>
      <c r="B361" s="50"/>
      <c r="C361" s="50"/>
      <c r="D361" s="50"/>
      <c r="E361" s="211"/>
      <c r="F361" s="50"/>
      <c r="G361" s="50"/>
    </row>
    <row r="367" spans="1:7">
      <c r="A367" s="83"/>
      <c r="B367" s="85"/>
      <c r="C367" s="85"/>
      <c r="D367" s="85"/>
      <c r="E367" s="212"/>
      <c r="F367" s="85"/>
      <c r="G367" s="85"/>
    </row>
    <row r="368" spans="1:7" ht="16.5" customHeight="1"/>
    <row r="370" spans="1:7">
      <c r="A370" s="50"/>
      <c r="B370" s="50"/>
      <c r="C370" s="50"/>
      <c r="D370" s="50"/>
      <c r="E370" s="211"/>
      <c r="F370" s="50"/>
      <c r="G370" s="50"/>
    </row>
    <row r="371" spans="1:7">
      <c r="A371" s="50"/>
    </row>
    <row r="372" spans="1:7">
      <c r="A372" s="50"/>
      <c r="B372" s="50"/>
      <c r="C372" s="50"/>
      <c r="D372" s="50"/>
      <c r="E372" s="211"/>
      <c r="F372" s="50"/>
      <c r="G372" s="50"/>
    </row>
    <row r="378" spans="1:7">
      <c r="A378" s="50"/>
      <c r="B378" s="84"/>
      <c r="C378" s="84"/>
      <c r="D378" s="84"/>
      <c r="E378" s="210"/>
      <c r="F378" s="84"/>
      <c r="G378" s="84"/>
    </row>
    <row r="380" spans="1:7">
      <c r="A380" s="50"/>
      <c r="B380" s="50"/>
      <c r="C380" s="50"/>
      <c r="D380" s="50"/>
      <c r="E380" s="211"/>
      <c r="F380" s="50"/>
      <c r="G380" s="50"/>
    </row>
    <row r="385" spans="1:7">
      <c r="A385" s="83"/>
      <c r="B385" s="84"/>
      <c r="C385" s="84"/>
      <c r="D385" s="84"/>
      <c r="E385" s="210"/>
      <c r="F385" s="84"/>
      <c r="G385" s="84"/>
    </row>
    <row r="387" spans="1:7">
      <c r="A387" s="50"/>
      <c r="B387" s="50"/>
      <c r="C387" s="50"/>
      <c r="D387" s="50"/>
      <c r="E387" s="211"/>
      <c r="F387" s="50"/>
      <c r="G387" s="50"/>
    </row>
    <row r="392" spans="1:7">
      <c r="A392" s="83"/>
      <c r="B392" s="84"/>
      <c r="C392" s="84"/>
      <c r="D392" s="84"/>
      <c r="E392" s="210"/>
      <c r="F392" s="84"/>
      <c r="G392" s="84"/>
    </row>
    <row r="394" spans="1:7">
      <c r="A394" s="50"/>
      <c r="B394" s="50"/>
      <c r="C394" s="50"/>
      <c r="D394" s="50"/>
      <c r="E394" s="211"/>
      <c r="F394" s="50"/>
      <c r="G394" s="50"/>
    </row>
    <row r="399" spans="1:7">
      <c r="A399" s="83"/>
      <c r="B399" s="84"/>
      <c r="C399" s="84"/>
      <c r="D399" s="84"/>
      <c r="E399" s="210"/>
      <c r="F399" s="84"/>
      <c r="G399" s="84"/>
    </row>
    <row r="401" spans="1:7">
      <c r="A401" s="50"/>
      <c r="B401" s="50"/>
      <c r="C401" s="50"/>
      <c r="D401" s="50"/>
      <c r="E401" s="211"/>
      <c r="F401" s="50"/>
      <c r="G401" s="50"/>
    </row>
    <row r="407" spans="1:7">
      <c r="A407" s="83"/>
      <c r="B407" s="85"/>
      <c r="C407" s="85"/>
      <c r="D407" s="85"/>
      <c r="E407" s="212"/>
      <c r="F407" s="85"/>
      <c r="G407" s="85"/>
    </row>
    <row r="410" spans="1:7">
      <c r="A410" s="50"/>
      <c r="B410" s="50"/>
      <c r="C410" s="50"/>
      <c r="D410" s="50"/>
      <c r="E410" s="211"/>
      <c r="F410" s="50"/>
      <c r="G410" s="50"/>
    </row>
    <row r="411" spans="1:7">
      <c r="A411" s="50"/>
    </row>
    <row r="412" spans="1:7">
      <c r="A412" s="50"/>
      <c r="B412" s="50"/>
      <c r="C412" s="50"/>
      <c r="D412" s="50"/>
      <c r="E412" s="211"/>
      <c r="F412" s="50"/>
      <c r="G412" s="50"/>
    </row>
    <row r="418" spans="1:7">
      <c r="A418" s="50"/>
      <c r="B418" s="84"/>
      <c r="C418" s="84"/>
      <c r="D418" s="84"/>
      <c r="E418" s="210"/>
      <c r="F418" s="84"/>
      <c r="G418" s="84"/>
    </row>
    <row r="420" spans="1:7">
      <c r="A420" s="50"/>
      <c r="B420" s="50"/>
      <c r="C420" s="50"/>
      <c r="D420" s="50"/>
      <c r="E420" s="211"/>
      <c r="F420" s="50"/>
      <c r="G420" s="50"/>
    </row>
    <row r="425" spans="1:7">
      <c r="A425" s="83"/>
      <c r="B425" s="84"/>
      <c r="C425" s="84"/>
      <c r="D425" s="84"/>
      <c r="E425" s="210"/>
      <c r="F425" s="84"/>
      <c r="G425" s="84"/>
    </row>
    <row r="427" spans="1:7">
      <c r="A427" s="50"/>
      <c r="B427" s="50"/>
      <c r="C427" s="50"/>
      <c r="D427" s="50"/>
      <c r="E427" s="211"/>
      <c r="F427" s="50"/>
      <c r="G427" s="50"/>
    </row>
    <row r="432" spans="1:7">
      <c r="A432" s="83"/>
      <c r="B432" s="84"/>
      <c r="C432" s="84"/>
      <c r="D432" s="84"/>
      <c r="E432" s="210"/>
      <c r="F432" s="84"/>
      <c r="G432" s="84"/>
    </row>
    <row r="434" spans="1:7">
      <c r="A434" s="50"/>
      <c r="B434" s="50"/>
      <c r="C434" s="50"/>
      <c r="D434" s="50"/>
      <c r="E434" s="211"/>
      <c r="F434" s="50"/>
      <c r="G434" s="50"/>
    </row>
    <row r="439" spans="1:7">
      <c r="A439" s="83"/>
      <c r="B439" s="84"/>
      <c r="C439" s="84"/>
      <c r="D439" s="84"/>
      <c r="E439" s="210"/>
      <c r="F439" s="84"/>
      <c r="G439" s="84"/>
    </row>
    <row r="441" spans="1:7">
      <c r="A441" s="50"/>
      <c r="B441" s="50"/>
      <c r="C441" s="50"/>
      <c r="D441" s="50"/>
      <c r="E441" s="211"/>
      <c r="F441" s="50"/>
      <c r="G441" s="50"/>
    </row>
    <row r="447" spans="1:7">
      <c r="A447" s="83"/>
      <c r="B447" s="85"/>
      <c r="C447" s="85"/>
      <c r="D447" s="85"/>
      <c r="E447" s="212"/>
      <c r="F447" s="85"/>
      <c r="G447" s="85"/>
    </row>
    <row r="450" spans="1:7">
      <c r="A450" s="50"/>
      <c r="B450" s="50"/>
      <c r="C450" s="50"/>
      <c r="D450" s="50"/>
      <c r="E450" s="211"/>
      <c r="F450" s="50"/>
      <c r="G450" s="50"/>
    </row>
    <row r="451" spans="1:7">
      <c r="A451" s="50"/>
    </row>
    <row r="452" spans="1:7">
      <c r="A452" s="50"/>
      <c r="B452" s="50"/>
      <c r="C452" s="50"/>
      <c r="D452" s="50"/>
      <c r="E452" s="211"/>
      <c r="F452" s="50"/>
      <c r="G452" s="50"/>
    </row>
    <row r="458" spans="1:7">
      <c r="A458" s="50"/>
      <c r="B458" s="84"/>
      <c r="C458" s="84"/>
      <c r="D458" s="84"/>
      <c r="E458" s="210"/>
      <c r="F458" s="84"/>
      <c r="G458" s="84"/>
    </row>
    <row r="460" spans="1:7">
      <c r="A460" s="50"/>
      <c r="B460" s="50"/>
      <c r="C460" s="50"/>
      <c r="D460" s="50"/>
      <c r="E460" s="211"/>
      <c r="F460" s="50"/>
      <c r="G460" s="50"/>
    </row>
    <row r="465" spans="1:7">
      <c r="A465" s="83"/>
      <c r="B465" s="84"/>
      <c r="C465" s="84"/>
      <c r="D465" s="84"/>
      <c r="E465" s="210"/>
      <c r="F465" s="84"/>
      <c r="G465" s="84"/>
    </row>
    <row r="467" spans="1:7">
      <c r="A467" s="50"/>
      <c r="B467" s="50"/>
      <c r="C467" s="50"/>
      <c r="D467" s="50"/>
      <c r="E467" s="211"/>
      <c r="F467" s="50"/>
      <c r="G467" s="50"/>
    </row>
    <row r="472" spans="1:7">
      <c r="A472" s="83"/>
      <c r="B472" s="84"/>
      <c r="C472" s="84"/>
      <c r="D472" s="84"/>
      <c r="E472" s="210"/>
      <c r="F472" s="84"/>
      <c r="G472" s="84"/>
    </row>
    <row r="474" spans="1:7">
      <c r="A474" s="50"/>
      <c r="B474" s="50"/>
      <c r="C474" s="50"/>
      <c r="D474" s="50"/>
      <c r="E474" s="211"/>
      <c r="F474" s="50"/>
      <c r="G474" s="50"/>
    </row>
    <row r="479" spans="1:7">
      <c r="A479" s="83"/>
      <c r="B479" s="84"/>
      <c r="C479" s="84"/>
      <c r="D479" s="84"/>
      <c r="E479" s="210"/>
      <c r="F479" s="84"/>
      <c r="G479" s="84"/>
    </row>
    <row r="481" spans="1:7">
      <c r="A481" s="50"/>
      <c r="B481" s="50"/>
      <c r="C481" s="50"/>
      <c r="D481" s="50"/>
      <c r="E481" s="211"/>
      <c r="F481" s="50"/>
      <c r="G481" s="50"/>
    </row>
    <row r="487" spans="1:7">
      <c r="A487" s="83"/>
      <c r="B487" s="85"/>
      <c r="C487" s="85"/>
      <c r="D487" s="85"/>
      <c r="E487" s="212"/>
      <c r="F487" s="85"/>
      <c r="G487" s="85"/>
    </row>
    <row r="490" spans="1:7">
      <c r="A490" s="50"/>
      <c r="B490" s="50"/>
      <c r="C490" s="50"/>
      <c r="D490" s="50"/>
      <c r="E490" s="211"/>
      <c r="F490" s="50"/>
      <c r="G490" s="50"/>
    </row>
    <row r="491" spans="1:7">
      <c r="A491" s="50"/>
    </row>
    <row r="492" spans="1:7">
      <c r="A492" s="50"/>
      <c r="B492" s="50"/>
      <c r="C492" s="50"/>
      <c r="D492" s="50"/>
      <c r="E492" s="211"/>
      <c r="F492" s="50"/>
      <c r="G492" s="50"/>
    </row>
    <row r="498" spans="1:7">
      <c r="A498" s="50"/>
      <c r="B498" s="84"/>
      <c r="C498" s="84"/>
      <c r="D498" s="84"/>
      <c r="E498" s="210"/>
      <c r="F498" s="84"/>
      <c r="G498" s="84"/>
    </row>
    <row r="500" spans="1:7">
      <c r="A500" s="50"/>
      <c r="B500" s="50"/>
      <c r="C500" s="50"/>
      <c r="D500" s="50"/>
      <c r="E500" s="211"/>
      <c r="F500" s="50"/>
      <c r="G500" s="50"/>
    </row>
    <row r="505" spans="1:7">
      <c r="A505" s="83"/>
      <c r="B505" s="84"/>
      <c r="C505" s="84"/>
      <c r="D505" s="84"/>
      <c r="E505" s="210"/>
      <c r="F505" s="84"/>
      <c r="G505" s="84"/>
    </row>
    <row r="507" spans="1:7">
      <c r="A507" s="50"/>
      <c r="B507" s="50"/>
      <c r="C507" s="50"/>
      <c r="D507" s="50"/>
      <c r="E507" s="211"/>
      <c r="F507" s="50"/>
      <c r="G507" s="50"/>
    </row>
    <row r="512" spans="1:7">
      <c r="A512" s="83"/>
      <c r="B512" s="84"/>
      <c r="C512" s="84"/>
      <c r="D512" s="84"/>
      <c r="E512" s="210"/>
      <c r="F512" s="84"/>
      <c r="G512" s="84"/>
    </row>
    <row r="514" spans="1:7">
      <c r="A514" s="50"/>
      <c r="B514" s="50"/>
      <c r="C514" s="50"/>
      <c r="D514" s="50"/>
      <c r="E514" s="211"/>
      <c r="F514" s="50"/>
      <c r="G514" s="50"/>
    </row>
    <row r="519" spans="1:7">
      <c r="A519" s="83"/>
      <c r="B519" s="84"/>
      <c r="C519" s="84"/>
      <c r="D519" s="84"/>
      <c r="E519" s="210"/>
      <c r="F519" s="84"/>
      <c r="G519" s="84"/>
    </row>
    <row r="521" spans="1:7">
      <c r="A521" s="50"/>
      <c r="B521" s="50"/>
      <c r="C521" s="50"/>
      <c r="D521" s="50"/>
      <c r="E521" s="211"/>
      <c r="F521" s="50"/>
      <c r="G521" s="50"/>
    </row>
    <row r="527" spans="1:7">
      <c r="A527" s="83"/>
      <c r="B527" s="85"/>
      <c r="C527" s="85"/>
      <c r="D527" s="85"/>
      <c r="E527" s="212"/>
      <c r="F527" s="85"/>
      <c r="G527" s="85"/>
    </row>
    <row r="530" spans="1:7">
      <c r="A530" s="50"/>
      <c r="B530" s="50"/>
      <c r="C530" s="50"/>
      <c r="D530" s="50"/>
      <c r="E530" s="211"/>
      <c r="F530" s="50"/>
      <c r="G530" s="50"/>
    </row>
    <row r="531" spans="1:7">
      <c r="A531" s="50"/>
    </row>
    <row r="532" spans="1:7">
      <c r="A532" s="50"/>
      <c r="B532" s="50"/>
      <c r="C532" s="50"/>
      <c r="D532" s="50"/>
      <c r="E532" s="211"/>
      <c r="F532" s="50"/>
      <c r="G532" s="50"/>
    </row>
    <row r="538" spans="1:7">
      <c r="A538" s="50"/>
      <c r="B538" s="84"/>
      <c r="C538" s="84"/>
      <c r="D538" s="84"/>
      <c r="E538" s="210"/>
      <c r="F538" s="84"/>
      <c r="G538" s="84"/>
    </row>
    <row r="540" spans="1:7">
      <c r="A540" s="50"/>
      <c r="B540" s="50"/>
      <c r="C540" s="50"/>
      <c r="D540" s="50"/>
      <c r="E540" s="211"/>
      <c r="F540" s="50"/>
      <c r="G540" s="50"/>
    </row>
    <row r="545" spans="1:7">
      <c r="A545" s="83"/>
      <c r="B545" s="84"/>
      <c r="C545" s="84"/>
      <c r="D545" s="84"/>
      <c r="E545" s="210"/>
      <c r="F545" s="84"/>
      <c r="G545" s="84"/>
    </row>
    <row r="547" spans="1:7">
      <c r="A547" s="50"/>
      <c r="B547" s="50"/>
      <c r="C547" s="50"/>
      <c r="D547" s="50"/>
      <c r="E547" s="211"/>
      <c r="F547" s="50"/>
      <c r="G547" s="50"/>
    </row>
    <row r="552" spans="1:7">
      <c r="A552" s="83"/>
      <c r="B552" s="84"/>
      <c r="C552" s="84"/>
      <c r="D552" s="84"/>
      <c r="E552" s="210"/>
      <c r="F552" s="84"/>
      <c r="G552" s="84"/>
    </row>
    <row r="554" spans="1:7">
      <c r="A554" s="50"/>
      <c r="B554" s="50"/>
      <c r="C554" s="50"/>
      <c r="D554" s="50"/>
      <c r="E554" s="211"/>
      <c r="F554" s="50"/>
      <c r="G554" s="50"/>
    </row>
    <row r="559" spans="1:7">
      <c r="A559" s="83"/>
      <c r="B559" s="84"/>
      <c r="C559" s="84"/>
      <c r="D559" s="84"/>
      <c r="E559" s="210"/>
      <c r="F559" s="84"/>
      <c r="G559" s="84"/>
    </row>
    <row r="561" spans="1:7">
      <c r="A561" s="50"/>
      <c r="B561" s="50"/>
      <c r="C561" s="50"/>
      <c r="D561" s="50"/>
      <c r="E561" s="211"/>
      <c r="F561" s="50"/>
      <c r="G561" s="50"/>
    </row>
    <row r="567" spans="1:7">
      <c r="A567" s="83"/>
      <c r="B567" s="85"/>
      <c r="C567" s="85"/>
      <c r="D567" s="85"/>
      <c r="E567" s="212"/>
      <c r="F567" s="85"/>
      <c r="G567" s="85"/>
    </row>
    <row r="570" spans="1:7">
      <c r="A570" s="50"/>
      <c r="B570" s="50"/>
      <c r="C570" s="50"/>
      <c r="D570" s="50"/>
      <c r="E570" s="211"/>
      <c r="F570" s="50"/>
      <c r="G570" s="50"/>
    </row>
    <row r="571" spans="1:7">
      <c r="A571" s="50"/>
    </row>
    <row r="572" spans="1:7">
      <c r="A572" s="50"/>
      <c r="B572" s="50"/>
      <c r="C572" s="50"/>
      <c r="D572" s="50"/>
      <c r="E572" s="211"/>
      <c r="F572" s="50"/>
      <c r="G572" s="50"/>
    </row>
    <row r="578" spans="1:7">
      <c r="A578" s="50"/>
      <c r="B578" s="84"/>
      <c r="C578" s="84"/>
      <c r="D578" s="84"/>
      <c r="E578" s="210"/>
      <c r="F578" s="84"/>
      <c r="G578" s="84"/>
    </row>
    <row r="580" spans="1:7">
      <c r="A580" s="50"/>
      <c r="B580" s="50"/>
      <c r="C580" s="50"/>
      <c r="D580" s="50"/>
      <c r="E580" s="211"/>
      <c r="F580" s="50"/>
      <c r="G580" s="50"/>
    </row>
    <row r="585" spans="1:7">
      <c r="A585" s="83"/>
      <c r="B585" s="84"/>
      <c r="C585" s="84"/>
      <c r="D585" s="84"/>
      <c r="E585" s="210"/>
      <c r="F585" s="84"/>
      <c r="G585" s="84"/>
    </row>
    <row r="587" spans="1:7">
      <c r="A587" s="50"/>
      <c r="B587" s="50"/>
      <c r="C587" s="50"/>
      <c r="D587" s="50"/>
      <c r="E587" s="211"/>
      <c r="F587" s="50"/>
      <c r="G587" s="50"/>
    </row>
    <row r="592" spans="1:7">
      <c r="A592" s="83"/>
      <c r="B592" s="84"/>
      <c r="C592" s="84"/>
      <c r="D592" s="84"/>
      <c r="E592" s="210"/>
      <c r="F592" s="84"/>
      <c r="G592" s="84"/>
    </row>
    <row r="594" spans="1:7">
      <c r="A594" s="50"/>
      <c r="B594" s="50"/>
      <c r="C594" s="50"/>
      <c r="D594" s="50"/>
      <c r="E594" s="211"/>
      <c r="F594" s="50"/>
      <c r="G594" s="50"/>
    </row>
    <row r="599" spans="1:7">
      <c r="A599" s="83"/>
      <c r="B599" s="84"/>
      <c r="C599" s="84"/>
      <c r="D599" s="84"/>
      <c r="E599" s="210"/>
      <c r="F599" s="84"/>
      <c r="G599" s="84"/>
    </row>
    <row r="601" spans="1:7">
      <c r="A601" s="50"/>
      <c r="B601" s="50"/>
      <c r="C601" s="50"/>
      <c r="D601" s="50"/>
      <c r="E601" s="211"/>
      <c r="F601" s="50"/>
      <c r="G601" s="50"/>
    </row>
    <row r="607" spans="1:7">
      <c r="A607" s="83"/>
      <c r="B607" s="85"/>
      <c r="C607" s="85"/>
      <c r="D607" s="85"/>
      <c r="E607" s="212"/>
      <c r="F607" s="85"/>
      <c r="G607" s="85"/>
    </row>
    <row r="609" spans="1:7">
      <c r="A609" s="50"/>
    </row>
    <row r="610" spans="1:7">
      <c r="A610" s="50"/>
      <c r="B610" s="50"/>
      <c r="C610" s="50"/>
      <c r="D610" s="50"/>
      <c r="E610" s="211"/>
      <c r="F610" s="50"/>
      <c r="G610" s="50"/>
    </row>
    <row r="611" spans="1:7">
      <c r="A611" s="50"/>
    </row>
    <row r="612" spans="1:7">
      <c r="A612" s="50"/>
      <c r="B612" s="50"/>
      <c r="C612" s="50"/>
      <c r="D612" s="50"/>
      <c r="E612" s="211"/>
      <c r="F612" s="50"/>
      <c r="G612" s="50"/>
    </row>
    <row r="618" spans="1:7">
      <c r="A618" s="50"/>
      <c r="B618" s="84"/>
      <c r="C618" s="84"/>
      <c r="D618" s="84"/>
      <c r="E618" s="210"/>
      <c r="F618" s="84"/>
      <c r="G618" s="84"/>
    </row>
    <row r="620" spans="1:7">
      <c r="A620" s="50"/>
      <c r="B620" s="50"/>
      <c r="C620" s="50"/>
      <c r="D620" s="50"/>
      <c r="E620" s="211"/>
      <c r="F620" s="50"/>
      <c r="G620" s="50"/>
    </row>
    <row r="625" spans="1:7">
      <c r="A625" s="83"/>
      <c r="B625" s="84"/>
      <c r="C625" s="84"/>
      <c r="D625" s="84"/>
      <c r="E625" s="210"/>
      <c r="F625" s="84"/>
      <c r="G625" s="84"/>
    </row>
    <row r="627" spans="1:7">
      <c r="A627" s="50"/>
      <c r="B627" s="50"/>
      <c r="C627" s="50"/>
      <c r="D627" s="50"/>
      <c r="E627" s="211"/>
      <c r="F627" s="50"/>
      <c r="G627" s="50"/>
    </row>
    <row r="632" spans="1:7">
      <c r="A632" s="83"/>
      <c r="B632" s="84"/>
      <c r="C632" s="84"/>
      <c r="D632" s="84"/>
      <c r="E632" s="210"/>
      <c r="F632" s="84"/>
      <c r="G632" s="84"/>
    </row>
    <row r="634" spans="1:7">
      <c r="A634" s="50"/>
      <c r="B634" s="50"/>
      <c r="C634" s="50"/>
      <c r="D634" s="50"/>
      <c r="E634" s="211"/>
      <c r="F634" s="50"/>
      <c r="G634" s="50"/>
    </row>
    <row r="639" spans="1:7">
      <c r="A639" s="83"/>
      <c r="B639" s="84"/>
      <c r="C639" s="84"/>
      <c r="D639" s="84"/>
      <c r="E639" s="210"/>
      <c r="F639" s="84"/>
      <c r="G639" s="84"/>
    </row>
    <row r="641" spans="1:7">
      <c r="A641" s="50"/>
      <c r="B641" s="50"/>
      <c r="C641" s="50"/>
      <c r="D641" s="50"/>
      <c r="E641" s="211"/>
      <c r="F641" s="50"/>
      <c r="G641" s="50"/>
    </row>
    <row r="647" spans="1:7">
      <c r="A647" s="83"/>
      <c r="B647" s="85"/>
      <c r="C647" s="85"/>
      <c r="D647" s="85"/>
      <c r="E647" s="212"/>
      <c r="F647" s="85"/>
      <c r="G647" s="85"/>
    </row>
    <row r="649" spans="1:7">
      <c r="A649" s="50"/>
    </row>
    <row r="650" spans="1:7">
      <c r="A650" s="50"/>
      <c r="B650" s="50"/>
      <c r="C650" s="50"/>
      <c r="D650" s="50"/>
      <c r="E650" s="211"/>
      <c r="F650" s="50"/>
      <c r="G650" s="50"/>
    </row>
    <row r="651" spans="1:7">
      <c r="A651" s="50"/>
    </row>
    <row r="652" spans="1:7">
      <c r="A652" s="179"/>
      <c r="B652" s="178"/>
      <c r="C652" s="178"/>
      <c r="D652" s="178"/>
      <c r="E652" s="216"/>
      <c r="F652" s="178"/>
      <c r="G652" s="178"/>
    </row>
    <row r="658" spans="1:7">
      <c r="A658" s="50"/>
      <c r="B658" s="84"/>
      <c r="C658" s="84"/>
      <c r="D658" s="84"/>
      <c r="E658" s="210"/>
      <c r="F658" s="84"/>
      <c r="G658" s="84"/>
    </row>
    <row r="660" spans="1:7">
      <c r="A660" s="179"/>
      <c r="B660" s="178"/>
      <c r="C660" s="178"/>
      <c r="D660" s="178"/>
      <c r="E660" s="216"/>
      <c r="F660" s="178"/>
      <c r="G660" s="178"/>
    </row>
    <row r="665" spans="1:7" ht="12.75" customHeight="1">
      <c r="A665" s="83"/>
      <c r="B665" s="84"/>
      <c r="C665" s="84"/>
      <c r="D665" s="84"/>
      <c r="E665" s="210"/>
      <c r="F665" s="84"/>
      <c r="G665" s="84"/>
    </row>
    <row r="667" spans="1:7">
      <c r="A667" s="179"/>
      <c r="B667" s="178"/>
      <c r="C667" s="178"/>
      <c r="D667" s="178"/>
      <c r="E667" s="216"/>
      <c r="F667" s="178"/>
      <c r="G667" s="178"/>
    </row>
    <row r="672" spans="1:7">
      <c r="A672" s="83"/>
      <c r="B672" s="84"/>
      <c r="C672" s="84"/>
      <c r="D672" s="84"/>
      <c r="E672" s="210"/>
      <c r="F672" s="84"/>
      <c r="G672" s="84"/>
    </row>
    <row r="674" spans="1:7">
      <c r="A674" s="179"/>
      <c r="B674" s="178"/>
      <c r="C674" s="178"/>
      <c r="D674" s="178"/>
      <c r="E674" s="216"/>
      <c r="F674" s="178"/>
      <c r="G674" s="178"/>
    </row>
    <row r="679" spans="1:7">
      <c r="A679" s="83"/>
      <c r="B679" s="84"/>
      <c r="C679" s="84"/>
      <c r="D679" s="84"/>
      <c r="E679" s="210"/>
      <c r="F679" s="84"/>
      <c r="G679" s="84"/>
    </row>
    <row r="681" spans="1:7">
      <c r="A681" s="179"/>
      <c r="B681" s="178"/>
      <c r="C681" s="178"/>
      <c r="D681" s="178"/>
      <c r="E681" s="216"/>
      <c r="F681" s="178"/>
      <c r="G681" s="178"/>
    </row>
    <row r="687" spans="1:7">
      <c r="A687" s="83"/>
      <c r="B687" s="84"/>
      <c r="C687" s="84"/>
      <c r="D687" s="84"/>
      <c r="E687" s="210"/>
      <c r="F687" s="84"/>
      <c r="G687" s="84"/>
    </row>
    <row r="689" spans="1:7">
      <c r="A689" s="50"/>
    </row>
    <row r="690" spans="1:7">
      <c r="A690" s="50"/>
      <c r="B690" s="50"/>
      <c r="C690" s="50"/>
      <c r="D690" s="50"/>
      <c r="E690" s="211"/>
      <c r="F690" s="50"/>
      <c r="G690" s="50"/>
    </row>
    <row r="691" spans="1:7">
      <c r="A691" s="50"/>
    </row>
    <row r="692" spans="1:7">
      <c r="A692" s="179"/>
      <c r="B692" s="178"/>
      <c r="C692" s="178"/>
      <c r="D692" s="178"/>
      <c r="E692" s="216"/>
      <c r="F692" s="178"/>
      <c r="G692" s="178"/>
    </row>
    <row r="696" spans="1:7">
      <c r="B696" s="186"/>
      <c r="C696" s="186"/>
      <c r="D696" s="186"/>
      <c r="E696" s="219"/>
      <c r="F696" s="186"/>
      <c r="G696" s="186"/>
    </row>
    <row r="698" spans="1:7">
      <c r="A698" s="50"/>
      <c r="B698" s="84"/>
      <c r="C698" s="84"/>
      <c r="D698" s="84"/>
      <c r="E698" s="210"/>
      <c r="F698" s="84"/>
      <c r="G698" s="84"/>
    </row>
    <row r="700" spans="1:7">
      <c r="A700" s="179"/>
      <c r="B700" s="178"/>
      <c r="C700" s="178"/>
      <c r="D700" s="178"/>
      <c r="E700" s="216"/>
      <c r="F700" s="178"/>
      <c r="G700" s="178"/>
    </row>
    <row r="705" spans="1:7">
      <c r="A705" s="83"/>
      <c r="B705" s="84"/>
      <c r="C705" s="84"/>
      <c r="D705" s="84"/>
      <c r="E705" s="210"/>
      <c r="F705" s="84"/>
      <c r="G705" s="84"/>
    </row>
    <row r="707" spans="1:7">
      <c r="A707" s="179"/>
      <c r="B707" s="178"/>
      <c r="C707" s="178"/>
      <c r="D707" s="178"/>
      <c r="E707" s="216"/>
      <c r="F707" s="178"/>
      <c r="G707" s="178"/>
    </row>
    <row r="712" spans="1:7">
      <c r="A712" s="83"/>
      <c r="B712" s="84"/>
      <c r="C712" s="84"/>
      <c r="D712" s="84"/>
      <c r="E712" s="210"/>
      <c r="F712" s="84"/>
      <c r="G712" s="84"/>
    </row>
    <row r="714" spans="1:7">
      <c r="A714" s="179"/>
      <c r="B714" s="178"/>
      <c r="C714" s="178"/>
      <c r="D714" s="178"/>
      <c r="E714" s="216"/>
      <c r="F714" s="178"/>
      <c r="G714" s="178"/>
    </row>
    <row r="719" spans="1:7">
      <c r="A719" s="83"/>
      <c r="B719" s="84"/>
      <c r="C719" s="84"/>
      <c r="D719" s="84"/>
      <c r="E719" s="210"/>
      <c r="F719" s="84"/>
      <c r="G719" s="84"/>
    </row>
    <row r="721" spans="1:7">
      <c r="A721" s="179"/>
      <c r="B721" s="178"/>
      <c r="C721" s="178"/>
      <c r="D721" s="178"/>
      <c r="E721" s="216"/>
      <c r="F721" s="178"/>
      <c r="G721" s="178"/>
    </row>
    <row r="727" spans="1:7">
      <c r="A727" s="83"/>
      <c r="B727" s="84"/>
      <c r="C727" s="84"/>
      <c r="D727" s="84"/>
      <c r="E727" s="210"/>
      <c r="F727" s="84"/>
      <c r="G727" s="84"/>
    </row>
    <row r="729" spans="1:7">
      <c r="A729" s="50"/>
    </row>
    <row r="730" spans="1:7">
      <c r="A730" s="50"/>
      <c r="B730" s="50"/>
      <c r="C730" s="50"/>
      <c r="D730" s="50"/>
      <c r="E730" s="211"/>
      <c r="F730" s="50"/>
      <c r="G730" s="50"/>
    </row>
    <row r="731" spans="1:7">
      <c r="A731" s="50"/>
    </row>
    <row r="732" spans="1:7">
      <c r="A732" s="179"/>
      <c r="B732" s="178"/>
      <c r="C732" s="178"/>
      <c r="D732" s="178"/>
      <c r="E732" s="216"/>
      <c r="F732" s="178"/>
      <c r="G732" s="178"/>
    </row>
    <row r="738" spans="1:7">
      <c r="A738" s="50"/>
      <c r="B738" s="84"/>
      <c r="C738" s="84"/>
      <c r="D738" s="84"/>
      <c r="E738" s="210"/>
      <c r="F738" s="84"/>
      <c r="G738" s="84"/>
    </row>
    <row r="740" spans="1:7">
      <c r="A740" s="179"/>
      <c r="B740" s="178"/>
      <c r="C740" s="178"/>
      <c r="D740" s="178"/>
      <c r="E740" s="216"/>
      <c r="F740" s="178"/>
      <c r="G740" s="178"/>
    </row>
    <row r="745" spans="1:7">
      <c r="A745" s="83"/>
      <c r="B745" s="84"/>
      <c r="C745" s="84"/>
      <c r="D745" s="84"/>
      <c r="E745" s="210"/>
      <c r="F745" s="84"/>
      <c r="G745" s="84"/>
    </row>
    <row r="747" spans="1:7">
      <c r="A747" s="179"/>
      <c r="B747" s="178"/>
      <c r="C747" s="178"/>
      <c r="D747" s="178"/>
      <c r="E747" s="216"/>
      <c r="F747" s="178"/>
      <c r="G747" s="178"/>
    </row>
    <row r="752" spans="1:7">
      <c r="A752" s="83"/>
      <c r="B752" s="84"/>
      <c r="C752" s="84"/>
      <c r="D752" s="84"/>
      <c r="E752" s="210"/>
      <c r="F752" s="84"/>
      <c r="G752" s="84"/>
    </row>
    <row r="754" spans="1:7">
      <c r="A754" s="179"/>
      <c r="B754" s="178"/>
      <c r="C754" s="178"/>
      <c r="D754" s="178"/>
      <c r="E754" s="216"/>
      <c r="F754" s="178"/>
      <c r="G754" s="178"/>
    </row>
    <row r="758" spans="1:7">
      <c r="B758" s="186"/>
      <c r="C758" s="186"/>
      <c r="D758" s="186"/>
      <c r="E758" s="219"/>
      <c r="F758" s="186"/>
      <c r="G758" s="186"/>
    </row>
    <row r="759" spans="1:7">
      <c r="A759" s="83"/>
      <c r="B759" s="84"/>
      <c r="C759" s="84"/>
      <c r="D759" s="84"/>
      <c r="E759" s="210"/>
      <c r="F759" s="84"/>
      <c r="G759" s="84"/>
    </row>
    <row r="761" spans="1:7">
      <c r="A761" s="179"/>
      <c r="B761" s="178"/>
      <c r="C761" s="178"/>
      <c r="D761" s="178"/>
      <c r="E761" s="216"/>
      <c r="F761" s="178"/>
      <c r="G761" s="178"/>
    </row>
    <row r="767" spans="1:7">
      <c r="A767" s="83"/>
      <c r="B767" s="84"/>
      <c r="C767" s="84"/>
      <c r="D767" s="84"/>
      <c r="E767" s="210"/>
      <c r="F767" s="84"/>
      <c r="G767" s="84"/>
    </row>
    <row r="769" spans="1:7">
      <c r="A769" s="50"/>
    </row>
    <row r="770" spans="1:7">
      <c r="A770" s="50"/>
      <c r="B770" s="50"/>
      <c r="C770" s="50"/>
      <c r="D770" s="50"/>
      <c r="E770" s="211"/>
      <c r="F770" s="50"/>
      <c r="G770" s="50"/>
    </row>
    <row r="771" spans="1:7">
      <c r="A771" s="50"/>
    </row>
    <row r="772" spans="1:7">
      <c r="A772" s="50"/>
      <c r="B772" s="50"/>
      <c r="C772" s="50"/>
      <c r="D772" s="50"/>
      <c r="E772" s="211"/>
      <c r="F772" s="50"/>
      <c r="G772" s="50"/>
    </row>
    <row r="778" spans="1:7">
      <c r="A778" s="50"/>
      <c r="B778" s="84"/>
      <c r="C778" s="84"/>
      <c r="D778" s="84"/>
      <c r="E778" s="210"/>
      <c r="F778" s="84"/>
      <c r="G778" s="84"/>
    </row>
    <row r="780" spans="1:7">
      <c r="A780" s="179"/>
      <c r="B780" s="178"/>
      <c r="C780" s="178"/>
      <c r="D780" s="178"/>
      <c r="E780" s="216"/>
      <c r="F780" s="178"/>
      <c r="G780" s="178"/>
    </row>
    <row r="785" spans="1:7">
      <c r="A785" s="83"/>
      <c r="B785" s="84"/>
      <c r="C785" s="84"/>
      <c r="D785" s="84"/>
      <c r="E785" s="210"/>
      <c r="F785" s="84"/>
      <c r="G785" s="84"/>
    </row>
    <row r="787" spans="1:7">
      <c r="A787" s="179"/>
      <c r="B787" s="178"/>
      <c r="C787" s="178"/>
      <c r="D787" s="178"/>
      <c r="E787" s="216"/>
      <c r="F787" s="178"/>
      <c r="G787" s="178"/>
    </row>
    <row r="792" spans="1:7">
      <c r="A792" s="83"/>
      <c r="B792" s="84"/>
      <c r="C792" s="84"/>
      <c r="D792" s="84"/>
      <c r="E792" s="210"/>
      <c r="F792" s="84"/>
      <c r="G792" s="84"/>
    </row>
    <row r="794" spans="1:7">
      <c r="A794" s="179"/>
      <c r="B794" s="178"/>
      <c r="C794" s="178"/>
      <c r="D794" s="178"/>
      <c r="E794" s="216"/>
      <c r="F794" s="178"/>
      <c r="G794" s="178"/>
    </row>
    <row r="799" spans="1:7">
      <c r="A799" s="83"/>
      <c r="B799" s="84"/>
      <c r="C799" s="84"/>
      <c r="D799" s="84"/>
      <c r="E799" s="210"/>
      <c r="F799" s="84"/>
      <c r="G799" s="84"/>
    </row>
    <row r="801" spans="1:7">
      <c r="A801" s="179"/>
      <c r="B801" s="178"/>
      <c r="C801" s="178"/>
      <c r="D801" s="178"/>
      <c r="E801" s="216"/>
      <c r="F801" s="178"/>
      <c r="G801" s="178"/>
    </row>
    <row r="807" spans="1:7">
      <c r="A807" s="83"/>
      <c r="B807" s="84"/>
      <c r="C807" s="84"/>
      <c r="D807" s="84"/>
      <c r="E807" s="210"/>
      <c r="F807" s="84"/>
      <c r="G807" s="84"/>
    </row>
    <row r="809" spans="1:7">
      <c r="A809" s="50"/>
    </row>
    <row r="810" spans="1:7">
      <c r="A810" s="50"/>
      <c r="B810" s="50"/>
      <c r="C810" s="50"/>
      <c r="D810" s="50"/>
      <c r="E810" s="211"/>
      <c r="F810" s="50"/>
      <c r="G810" s="50"/>
    </row>
    <row r="811" spans="1:7">
      <c r="A811" s="50"/>
    </row>
    <row r="812" spans="1:7">
      <c r="A812" s="179"/>
      <c r="B812" s="178"/>
      <c r="C812" s="178"/>
      <c r="D812" s="178"/>
      <c r="E812" s="216"/>
      <c r="F812" s="178"/>
      <c r="G812" s="178"/>
    </row>
    <row r="818" spans="1:7">
      <c r="A818" s="50"/>
      <c r="B818" s="84"/>
      <c r="C818" s="84"/>
      <c r="D818" s="84"/>
      <c r="E818" s="210"/>
      <c r="F818" s="84"/>
      <c r="G818" s="84"/>
    </row>
    <row r="820" spans="1:7">
      <c r="A820" s="179"/>
      <c r="B820" s="178"/>
      <c r="C820" s="178"/>
      <c r="D820" s="178"/>
      <c r="E820" s="216"/>
      <c r="F820" s="178"/>
      <c r="G820" s="178"/>
    </row>
    <row r="822" spans="1:7">
      <c r="B822" s="186"/>
      <c r="C822" s="186"/>
      <c r="D822" s="186"/>
      <c r="E822" s="219"/>
      <c r="F822" s="186"/>
      <c r="G822" s="186"/>
    </row>
    <row r="825" spans="1:7">
      <c r="A825" s="83"/>
      <c r="B825" s="84"/>
      <c r="C825" s="84"/>
      <c r="D825" s="84"/>
      <c r="E825" s="210"/>
      <c r="F825" s="84"/>
      <c r="G825" s="84"/>
    </row>
    <row r="827" spans="1:7">
      <c r="A827" s="179"/>
      <c r="B827" s="178"/>
      <c r="C827" s="178"/>
      <c r="D827" s="178"/>
      <c r="E827" s="216"/>
      <c r="F827" s="178"/>
      <c r="G827" s="178"/>
    </row>
    <row r="832" spans="1:7">
      <c r="A832" s="83"/>
      <c r="B832" s="84"/>
      <c r="C832" s="84"/>
      <c r="D832" s="84"/>
      <c r="E832" s="210"/>
      <c r="F832" s="84"/>
      <c r="G832" s="84"/>
    </row>
    <row r="834" spans="1:7">
      <c r="A834" s="179"/>
      <c r="B834" s="178"/>
      <c r="C834" s="178"/>
      <c r="D834" s="178"/>
      <c r="E834" s="216"/>
      <c r="F834" s="178"/>
      <c r="G834" s="178"/>
    </row>
    <row r="839" spans="1:7">
      <c r="A839" s="83"/>
      <c r="B839" s="84"/>
      <c r="C839" s="84"/>
      <c r="D839" s="84"/>
      <c r="E839" s="210"/>
      <c r="F839" s="84"/>
      <c r="G839" s="84"/>
    </row>
    <row r="841" spans="1:7">
      <c r="A841" s="179"/>
      <c r="B841" s="178"/>
      <c r="C841" s="178"/>
      <c r="D841" s="178"/>
      <c r="E841" s="216"/>
      <c r="F841" s="178"/>
      <c r="G841" s="178"/>
    </row>
    <row r="847" spans="1:7">
      <c r="A847" s="83"/>
      <c r="B847" s="84"/>
      <c r="C847" s="84"/>
      <c r="D847" s="84"/>
      <c r="E847" s="210"/>
      <c r="F847" s="84"/>
      <c r="G847" s="84"/>
    </row>
    <row r="849" spans="1:1">
      <c r="A849" s="50"/>
    </row>
  </sheetData>
  <customSheetViews>
    <customSheetView guid="{AE6F0488-1842-4C89-B05F-A836B633FB8F}" scale="75" showPageBreaks="1" hiddenColumns="1" showRuler="0">
      <pane xSplit="1" ySplit="3" topLeftCell="B17" activePane="bottomRight" state="frozen"/>
      <selection pane="bottomRight" activeCell="F28" sqref="F28"/>
      <rowBreaks count="39" manualBreakCount="39">
        <brk id="47" max="15" man="1"/>
        <brk id="89" max="15" man="1"/>
        <brk id="134" max="16" man="1"/>
        <brk id="135" max="15" man="1"/>
        <brk id="165" max="8" man="1"/>
        <brk id="167" max="8" man="1"/>
        <brk id="205" max="8" man="1"/>
        <brk id="207" max="8" man="1"/>
        <brk id="245" max="8" man="1"/>
        <brk id="247" max="8" man="1"/>
        <brk id="285" max="8" man="1"/>
        <brk id="287" max="8" man="1"/>
        <brk id="325" max="8" man="1"/>
        <brk id="327" max="8" man="1"/>
        <brk id="365" max="8" man="1"/>
        <brk id="367" max="8" man="1"/>
        <brk id="405" max="8" man="1"/>
        <brk id="407" max="8" man="1"/>
        <brk id="445" max="8" man="1"/>
        <brk id="447" max="8" man="1"/>
        <brk id="485" max="8" man="1"/>
        <brk id="487" max="8" man="1"/>
        <brk id="525" max="8" man="1"/>
        <brk id="527" max="8" man="1"/>
        <brk id="565" max="8" man="1"/>
        <brk id="567" max="8" man="1"/>
        <brk id="605" max="8" man="1"/>
        <brk id="607" max="8" man="1"/>
        <brk id="645" max="8" man="1"/>
        <brk id="647" max="8" man="1"/>
        <brk id="687" max="8" man="1"/>
        <brk id="725" max="8" man="1"/>
        <brk id="727" max="8" man="1"/>
        <brk id="765" max="8" man="1"/>
        <brk id="767" max="8" man="1"/>
        <brk id="805" max="8" man="1"/>
        <brk id="807" max="8" man="1"/>
        <brk id="845" max="8" man="1"/>
        <brk id="847" max="8" man="1"/>
      </rowBreaks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7" activePane="bottomRight" state="frozen"/>
      <selection pane="bottomRight" activeCell="A21" sqref="A21:IV21"/>
      <rowBreaks count="39" manualBreakCount="39">
        <brk id="47" max="15" man="1"/>
        <brk id="89" max="15" man="1"/>
        <brk id="134" max="16" man="1"/>
        <brk id="135" max="15" man="1"/>
        <brk id="165" max="8" man="1"/>
        <brk id="167" max="8" man="1"/>
        <brk id="205" max="8" man="1"/>
        <brk id="207" max="8" man="1"/>
        <brk id="245" max="8" man="1"/>
        <brk id="247" max="8" man="1"/>
        <brk id="285" max="8" man="1"/>
        <brk id="287" max="8" man="1"/>
        <brk id="325" max="8" man="1"/>
        <brk id="327" max="8" man="1"/>
        <brk id="365" max="8" man="1"/>
        <brk id="367" max="8" man="1"/>
        <brk id="405" max="8" man="1"/>
        <brk id="407" max="8" man="1"/>
        <brk id="445" max="8" man="1"/>
        <brk id="447" max="8" man="1"/>
        <brk id="485" max="8" man="1"/>
        <brk id="487" max="8" man="1"/>
        <brk id="525" max="8" man="1"/>
        <brk id="527" max="8" man="1"/>
        <brk id="565" max="8" man="1"/>
        <brk id="567" max="8" man="1"/>
        <brk id="605" max="8" man="1"/>
        <brk id="607" max="8" man="1"/>
        <brk id="645" max="8" man="1"/>
        <brk id="647" max="8" man="1"/>
        <brk id="687" max="8" man="1"/>
        <brk id="725" max="8" man="1"/>
        <brk id="727" max="8" man="1"/>
        <brk id="765" max="8" man="1"/>
        <brk id="767" max="8" man="1"/>
        <brk id="805" max="8" man="1"/>
        <brk id="807" max="8" man="1"/>
        <brk id="845" max="8" man="1"/>
        <brk id="847" max="8" man="1"/>
      </rowBreaks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109" activePane="bottomRight" state="frozen"/>
      <selection pane="bottomRight" activeCell="F117" sqref="F117"/>
      <rowBreaks count="39" manualBreakCount="39">
        <brk id="47" max="15" man="1"/>
        <brk id="89" max="15" man="1"/>
        <brk id="134" max="16" man="1"/>
        <brk id="135" max="15" man="1"/>
        <brk id="165" max="8" man="1"/>
        <brk id="167" max="8" man="1"/>
        <brk id="205" max="8" man="1"/>
        <brk id="207" max="8" man="1"/>
        <brk id="245" max="8" man="1"/>
        <brk id="247" max="8" man="1"/>
        <brk id="285" max="8" man="1"/>
        <brk id="287" max="8" man="1"/>
        <brk id="325" max="8" man="1"/>
        <brk id="327" max="8" man="1"/>
        <brk id="365" max="8" man="1"/>
        <brk id="367" max="8" man="1"/>
        <brk id="405" max="8" man="1"/>
        <brk id="407" max="8" man="1"/>
        <brk id="445" max="8" man="1"/>
        <brk id="447" max="8" man="1"/>
        <brk id="485" max="8" man="1"/>
        <brk id="487" max="8" man="1"/>
        <brk id="525" max="8" man="1"/>
        <brk id="527" max="8" man="1"/>
        <brk id="565" max="8" man="1"/>
        <brk id="567" max="8" man="1"/>
        <brk id="605" max="8" man="1"/>
        <brk id="607" max="8" man="1"/>
        <brk id="645" max="8" man="1"/>
        <brk id="647" max="8" man="1"/>
        <brk id="687" max="8" man="1"/>
        <brk id="725" max="8" man="1"/>
        <brk id="727" max="8" man="1"/>
        <brk id="765" max="8" man="1"/>
        <brk id="767" max="8" man="1"/>
        <brk id="805" max="8" man="1"/>
        <brk id="807" max="8" man="1"/>
        <brk id="845" max="8" man="1"/>
        <brk id="847" max="8" man="1"/>
      </rowBreaks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8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38" manualBreakCount="38">
    <brk id="53" max="16" man="1"/>
    <brk id="102" max="16" man="1"/>
    <brk id="139" max="16" man="1"/>
    <brk id="166" max="8" man="1"/>
    <brk id="168" max="8" man="1"/>
    <brk id="206" max="8" man="1"/>
    <brk id="208" max="8" man="1"/>
    <brk id="246" max="8" man="1"/>
    <brk id="248" max="8" man="1"/>
    <brk id="286" max="8" man="1"/>
    <brk id="288" max="8" man="1"/>
    <brk id="326" max="8" man="1"/>
    <brk id="328" max="8" man="1"/>
    <brk id="366" max="8" man="1"/>
    <brk id="368" max="8" man="1"/>
    <brk id="406" max="8" man="1"/>
    <brk id="408" max="8" man="1"/>
    <brk id="446" max="8" man="1"/>
    <brk id="448" max="8" man="1"/>
    <brk id="486" max="8" man="1"/>
    <brk id="488" max="8" man="1"/>
    <brk id="526" max="8" man="1"/>
    <brk id="528" max="8" man="1"/>
    <brk id="566" max="8" man="1"/>
    <brk id="568" max="8" man="1"/>
    <brk id="606" max="8" man="1"/>
    <brk id="608" max="8" man="1"/>
    <brk id="646" max="8" man="1"/>
    <brk id="648" max="8" man="1"/>
    <brk id="688" max="8" man="1"/>
    <brk id="726" max="8" man="1"/>
    <brk id="728" max="8" man="1"/>
    <brk id="766" max="8" man="1"/>
    <brk id="768" max="8" man="1"/>
    <brk id="806" max="8" man="1"/>
    <brk id="808" max="8" man="1"/>
    <brk id="846" max="8" man="1"/>
    <brk id="848" max="8" man="1"/>
  </rowBreaks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79998168889431442"/>
    <pageSetUpPr fitToPage="1"/>
  </sheetPr>
  <dimension ref="A1:Y1094"/>
  <sheetViews>
    <sheetView view="pageBreakPreview" zoomScale="86" zoomScaleNormal="80" zoomScaleSheetLayoutView="86" workbookViewId="0">
      <pane xSplit="1" ySplit="3" topLeftCell="B10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.75"/>
  <cols>
    <col min="1" max="1" width="32.5703125" style="49" customWidth="1"/>
    <col min="2" max="2" width="14.28515625" style="82" customWidth="1"/>
    <col min="3" max="3" width="11.42578125" style="435" customWidth="1"/>
    <col min="4" max="4" width="10.7109375" style="82" customWidth="1"/>
    <col min="5" max="5" width="11.140625" style="209" hidden="1" customWidth="1"/>
    <col min="6" max="6" width="16.85546875" style="82" customWidth="1"/>
    <col min="7" max="7" width="15.7109375" style="82" customWidth="1"/>
    <col min="8" max="8" width="18" style="49" customWidth="1"/>
    <col min="9" max="9" width="14" style="49" customWidth="1"/>
    <col min="10" max="10" width="15.140625" style="49" customWidth="1"/>
    <col min="11" max="11" width="15.7109375" style="49" customWidth="1"/>
    <col min="12" max="12" width="20" style="49" bestFit="1" customWidth="1"/>
    <col min="13" max="13" width="18.5703125" style="49" customWidth="1"/>
    <col min="14" max="14" width="17.28515625" style="49" bestFit="1" customWidth="1"/>
    <col min="15" max="15" width="13.85546875" style="49" customWidth="1"/>
    <col min="16" max="16" width="15.5703125" style="49" customWidth="1"/>
    <col min="17" max="17" width="21.42578125" style="49" customWidth="1"/>
    <col min="18" max="18" width="9.140625" style="49"/>
    <col min="19" max="19" width="16" style="49" customWidth="1"/>
    <col min="20" max="20" width="15.42578125" style="49" customWidth="1"/>
    <col min="21" max="21" width="12.7109375" style="49" customWidth="1"/>
    <col min="22" max="22" width="14.5703125" style="49" customWidth="1"/>
    <col min="23" max="24" width="17.140625" style="49" customWidth="1"/>
    <col min="25" max="16384" width="9.140625" style="49"/>
  </cols>
  <sheetData>
    <row r="1" spans="1:25" ht="15.75" customHeight="1">
      <c r="A1" s="1" t="s">
        <v>156</v>
      </c>
      <c r="B1" s="48"/>
      <c r="D1" s="43"/>
      <c r="E1" s="17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ht="15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80.25" customHeight="1" thickBot="1">
      <c r="A3" s="6" t="s">
        <v>1</v>
      </c>
      <c r="B3" s="7" t="str">
        <f>'Carson City'!B3</f>
        <v xml:space="preserve">PROPOSED FY 27 TAX RATE   </v>
      </c>
      <c r="C3" s="436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43"/>
      <c r="C4" s="437"/>
      <c r="D4" s="52"/>
      <c r="E4" s="203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25">
      <c r="A5" s="54" t="s">
        <v>10</v>
      </c>
      <c r="B5" s="51"/>
      <c r="C5" s="437"/>
      <c r="D5" s="52"/>
      <c r="E5" s="203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5">
      <c r="A6" s="50"/>
      <c r="B6" s="51"/>
      <c r="C6" s="437"/>
      <c r="D6" s="52"/>
      <c r="E6" s="203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5">
      <c r="A7" s="47" t="str">
        <f>A25</f>
        <v>STATE OF NEVADA</v>
      </c>
      <c r="B7" s="48">
        <f t="shared" ref="B7:Q7" si="0">B34</f>
        <v>0.17</v>
      </c>
      <c r="C7" s="435">
        <f t="shared" si="0"/>
        <v>0</v>
      </c>
      <c r="D7" s="43">
        <f t="shared" si="0"/>
        <v>4681</v>
      </c>
      <c r="E7" s="173"/>
      <c r="F7" s="43">
        <f t="shared" si="0"/>
        <v>407450780.63999999</v>
      </c>
      <c r="G7" s="53">
        <f t="shared" si="0"/>
        <v>40379.86</v>
      </c>
      <c r="H7" s="53">
        <f t="shared" si="0"/>
        <v>685434.67330000002</v>
      </c>
      <c r="I7" s="53">
        <f t="shared" si="0"/>
        <v>0</v>
      </c>
      <c r="J7" s="53">
        <f t="shared" si="0"/>
        <v>33148.519999999997</v>
      </c>
      <c r="K7" s="53">
        <f t="shared" si="0"/>
        <v>145.63</v>
      </c>
      <c r="L7" s="53">
        <f t="shared" si="0"/>
        <v>692811.6433</v>
      </c>
      <c r="M7" s="53">
        <f t="shared" si="0"/>
        <v>47862.71</v>
      </c>
      <c r="N7" s="53">
        <f t="shared" si="0"/>
        <v>644948.93330000003</v>
      </c>
      <c r="O7" s="53">
        <f t="shared" si="0"/>
        <v>0</v>
      </c>
      <c r="P7" s="53">
        <f>P34</f>
        <v>89721.45</v>
      </c>
      <c r="Q7" s="53">
        <f t="shared" si="0"/>
        <v>555227.48329999996</v>
      </c>
      <c r="W7" s="174" t="s">
        <v>15</v>
      </c>
      <c r="X7" s="284">
        <f>Q27+Q57+Q76+Q88+Q102+Q114+Q126+Q138+Q150+Q162+Q174+Q186+Q198+Q210+Q222</f>
        <v>6318523.2899999991</v>
      </c>
      <c r="Y7" s="390" t="s">
        <v>461</v>
      </c>
    </row>
    <row r="8" spans="1:25">
      <c r="A8" s="49" t="str">
        <f>A37</f>
        <v>GENERAL COUNTY</v>
      </c>
      <c r="B8" s="48">
        <f t="shared" ref="B8:Q8" si="1">B64</f>
        <v>1.3374999999999999</v>
      </c>
      <c r="C8" s="406">
        <f t="shared" si="1"/>
        <v>0</v>
      </c>
      <c r="D8" s="43">
        <f t="shared" si="1"/>
        <v>4681</v>
      </c>
      <c r="E8" s="173"/>
      <c r="F8" s="43">
        <f t="shared" si="1"/>
        <v>425764036.98000002</v>
      </c>
      <c r="G8" s="53">
        <f t="shared" si="1"/>
        <v>317695.00999999995</v>
      </c>
      <c r="H8" s="53">
        <f t="shared" si="1"/>
        <v>5392760.2103749998</v>
      </c>
      <c r="I8" s="53">
        <f t="shared" si="1"/>
        <v>0</v>
      </c>
      <c r="J8" s="53">
        <f t="shared" si="1"/>
        <v>260800.9</v>
      </c>
      <c r="K8" s="53">
        <f t="shared" si="1"/>
        <v>1145.8899999999996</v>
      </c>
      <c r="L8" s="53">
        <f t="shared" si="1"/>
        <v>5450800.2103750007</v>
      </c>
      <c r="M8" s="53">
        <f t="shared" si="1"/>
        <v>376565.2</v>
      </c>
      <c r="N8" s="53">
        <f t="shared" si="1"/>
        <v>5074235.0103750005</v>
      </c>
      <c r="O8" s="53">
        <f t="shared" si="1"/>
        <v>0</v>
      </c>
      <c r="P8" s="53">
        <f>P64</f>
        <v>705896.49</v>
      </c>
      <c r="Q8" s="53">
        <f t="shared" si="1"/>
        <v>4368338.5203750012</v>
      </c>
      <c r="W8" s="171" t="s">
        <v>16</v>
      </c>
      <c r="X8" s="284">
        <f t="shared" ref="X8:X14" si="2">Q28+Q58+Q77+Q89+Q103+Q115+Q127+Q139+Q151+Q163+Q175+Q187+Q199+Q211+Q223</f>
        <v>14302.911518000001</v>
      </c>
    </row>
    <row r="9" spans="1:25">
      <c r="A9" s="47" t="str">
        <f>A74</f>
        <v>SCHOOL DISTRICT</v>
      </c>
      <c r="B9" s="48">
        <f t="shared" ref="B9:Q9" si="3">B97</f>
        <v>0.97309999999999997</v>
      </c>
      <c r="C9" s="402">
        <f t="shared" si="3"/>
        <v>0</v>
      </c>
      <c r="D9" s="43">
        <f t="shared" si="3"/>
        <v>4681</v>
      </c>
      <c r="E9" s="173"/>
      <c r="F9" s="43">
        <f t="shared" si="3"/>
        <v>407450780.63999999</v>
      </c>
      <c r="G9" s="53">
        <f t="shared" si="3"/>
        <v>231139.34000000003</v>
      </c>
      <c r="H9" s="53">
        <f t="shared" si="3"/>
        <v>3923510.8226190004</v>
      </c>
      <c r="I9" s="53">
        <f t="shared" si="3"/>
        <v>0</v>
      </c>
      <c r="J9" s="53">
        <f t="shared" si="3"/>
        <v>189746.04</v>
      </c>
      <c r="K9" s="53">
        <f t="shared" si="3"/>
        <v>833.68999999999994</v>
      </c>
      <c r="L9" s="53">
        <f t="shared" si="3"/>
        <v>3965737.8126190007</v>
      </c>
      <c r="M9" s="53">
        <f t="shared" si="3"/>
        <v>273970.63</v>
      </c>
      <c r="N9" s="53">
        <f t="shared" si="3"/>
        <v>3691767.1826190003</v>
      </c>
      <c r="O9" s="53">
        <f t="shared" si="3"/>
        <v>0</v>
      </c>
      <c r="P9" s="53">
        <f>P97</f>
        <v>513575.98</v>
      </c>
      <c r="Q9" s="53">
        <f t="shared" si="3"/>
        <v>3178262.919297656</v>
      </c>
      <c r="W9" s="171" t="s">
        <v>17</v>
      </c>
      <c r="X9" s="284">
        <f t="shared" si="2"/>
        <v>392536.51171700004</v>
      </c>
    </row>
    <row r="10" spans="1:25">
      <c r="A10" s="49" t="str">
        <f>A100</f>
        <v>CITY OF CALIENTE</v>
      </c>
      <c r="B10" s="48">
        <f t="shared" ref="B10:Q10" si="4">B109</f>
        <v>0.91149999999999998</v>
      </c>
      <c r="C10" s="402">
        <f t="shared" si="4"/>
        <v>0</v>
      </c>
      <c r="D10" s="43">
        <f t="shared" si="4"/>
        <v>568</v>
      </c>
      <c r="E10" s="173"/>
      <c r="F10" s="43">
        <f t="shared" si="4"/>
        <v>23456607.925479978</v>
      </c>
      <c r="G10" s="53">
        <f t="shared" si="4"/>
        <v>8377.2089099999994</v>
      </c>
      <c r="H10" s="53">
        <f t="shared" si="4"/>
        <v>208929.27850000001</v>
      </c>
      <c r="I10" s="53">
        <f t="shared" si="4"/>
        <v>0</v>
      </c>
      <c r="J10" s="53">
        <f t="shared" si="4"/>
        <v>3596.48</v>
      </c>
      <c r="K10" s="53">
        <f t="shared" si="4"/>
        <v>311.52999999999997</v>
      </c>
      <c r="L10" s="53">
        <f t="shared" si="4"/>
        <v>214021.53741000002</v>
      </c>
      <c r="M10" s="53">
        <f t="shared" si="4"/>
        <v>14497.17</v>
      </c>
      <c r="N10" s="53">
        <f t="shared" si="4"/>
        <v>199524.36741000001</v>
      </c>
      <c r="O10" s="53">
        <f t="shared" si="4"/>
        <v>0</v>
      </c>
      <c r="P10" s="53">
        <f>P109</f>
        <v>0</v>
      </c>
      <c r="Q10" s="53">
        <f t="shared" si="4"/>
        <v>199524.36741000001</v>
      </c>
      <c r="W10" s="171" t="s">
        <v>18</v>
      </c>
      <c r="X10" s="284"/>
    </row>
    <row r="11" spans="1:25">
      <c r="A11" s="49" t="str">
        <f>A112</f>
        <v>ALAMO TOWN</v>
      </c>
      <c r="B11" s="48">
        <f t="shared" ref="B11:Q11" si="5">B121</f>
        <v>0.64810000000000001</v>
      </c>
      <c r="C11" s="402">
        <f t="shared" si="5"/>
        <v>0</v>
      </c>
      <c r="D11" s="43">
        <f t="shared" si="5"/>
        <v>404</v>
      </c>
      <c r="E11" s="173"/>
      <c r="F11" s="43">
        <f t="shared" si="5"/>
        <v>14626346.655344853</v>
      </c>
      <c r="G11" s="53">
        <f>G121</f>
        <v>4730.6757879999996</v>
      </c>
      <c r="H11" s="53">
        <f t="shared" si="5"/>
        <v>90086.692569999999</v>
      </c>
      <c r="I11" s="53">
        <f t="shared" si="5"/>
        <v>0</v>
      </c>
      <c r="J11" s="53">
        <f t="shared" si="5"/>
        <v>79.349999999999994</v>
      </c>
      <c r="K11" s="53">
        <f t="shared" si="5"/>
        <v>10.84</v>
      </c>
      <c r="L11" s="53">
        <f t="shared" si="5"/>
        <v>94748.858357999998</v>
      </c>
      <c r="M11" s="53">
        <f t="shared" si="5"/>
        <v>3802.7900000000004</v>
      </c>
      <c r="N11" s="53">
        <f t="shared" si="5"/>
        <v>90946.068358000004</v>
      </c>
      <c r="O11" s="53">
        <f t="shared" si="5"/>
        <v>0</v>
      </c>
      <c r="P11" s="53">
        <f>P121</f>
        <v>0</v>
      </c>
      <c r="Q11" s="53">
        <f t="shared" si="5"/>
        <v>90946.068358000004</v>
      </c>
      <c r="S11" s="53">
        <f>SUM(L11:L13)</f>
        <v>218535.84429400001</v>
      </c>
      <c r="T11" s="53">
        <f>SUM(Q11:Q13)</f>
        <v>205426.84429400001</v>
      </c>
      <c r="W11" s="285" t="s">
        <v>19</v>
      </c>
      <c r="X11" s="284">
        <f t="shared" si="2"/>
        <v>3313131.65</v>
      </c>
      <c r="Y11" s="390" t="s">
        <v>461</v>
      </c>
    </row>
    <row r="12" spans="1:25">
      <c r="A12" s="47" t="str">
        <f>A124</f>
        <v>PANACA TOWN</v>
      </c>
      <c r="B12" s="48">
        <f t="shared" ref="B12:Q12" si="6">B133</f>
        <v>0.2</v>
      </c>
      <c r="C12" s="402">
        <f t="shared" si="6"/>
        <v>0</v>
      </c>
      <c r="D12" s="43">
        <f t="shared" si="6"/>
        <v>478</v>
      </c>
      <c r="E12" s="173"/>
      <c r="F12" s="43">
        <f t="shared" si="6"/>
        <v>19890248.25</v>
      </c>
      <c r="G12" s="53">
        <f t="shared" si="6"/>
        <v>1195.664</v>
      </c>
      <c r="H12" s="53">
        <f t="shared" si="6"/>
        <v>38588.487999999998</v>
      </c>
      <c r="I12" s="53">
        <f t="shared" si="6"/>
        <v>0</v>
      </c>
      <c r="J12" s="53">
        <f t="shared" si="6"/>
        <v>16.899999999999999</v>
      </c>
      <c r="K12" s="53">
        <f t="shared" si="6"/>
        <v>4.3600000000000003</v>
      </c>
      <c r="L12" s="53">
        <f t="shared" si="6"/>
        <v>39771.612000000001</v>
      </c>
      <c r="M12" s="53">
        <f t="shared" si="6"/>
        <v>3939.1800000000003</v>
      </c>
      <c r="N12" s="53">
        <f t="shared" si="6"/>
        <v>35832.432000000008</v>
      </c>
      <c r="O12" s="53">
        <f t="shared" si="6"/>
        <v>0</v>
      </c>
      <c r="P12" s="53">
        <f>P133</f>
        <v>0</v>
      </c>
      <c r="Q12" s="53">
        <f t="shared" si="6"/>
        <v>35832.432000000008</v>
      </c>
      <c r="W12" s="285" t="s">
        <v>20</v>
      </c>
      <c r="X12" s="284">
        <f t="shared" si="2"/>
        <v>31356.646678655841</v>
      </c>
      <c r="Y12" s="390" t="s">
        <v>461</v>
      </c>
    </row>
    <row r="13" spans="1:25">
      <c r="A13" s="47" t="str">
        <f>A136</f>
        <v>PIOCHE TOWN</v>
      </c>
      <c r="B13" s="48">
        <f t="shared" ref="B13:Q13" si="7">B145</f>
        <v>0.34420000000000001</v>
      </c>
      <c r="C13" s="402">
        <f t="shared" si="7"/>
        <v>0</v>
      </c>
      <c r="D13" s="43">
        <f t="shared" si="7"/>
        <v>975</v>
      </c>
      <c r="E13" s="173"/>
      <c r="F13" s="43">
        <f t="shared" si="7"/>
        <v>24421762.469999999</v>
      </c>
      <c r="G13" s="53">
        <f t="shared" si="7"/>
        <v>1945.76</v>
      </c>
      <c r="H13" s="53">
        <f t="shared" si="7"/>
        <v>83355.653936000002</v>
      </c>
      <c r="I13" s="53">
        <f t="shared" si="7"/>
        <v>0</v>
      </c>
      <c r="J13" s="53">
        <f t="shared" si="7"/>
        <v>1290.56</v>
      </c>
      <c r="K13" s="53">
        <f t="shared" si="7"/>
        <v>4.5199999999999996</v>
      </c>
      <c r="L13" s="53">
        <f t="shared" si="7"/>
        <v>84015.373936000004</v>
      </c>
      <c r="M13" s="53">
        <f t="shared" si="7"/>
        <v>5367.0300000000007</v>
      </c>
      <c r="N13" s="53">
        <f t="shared" si="7"/>
        <v>78648.343936000005</v>
      </c>
      <c r="O13" s="53">
        <f t="shared" si="7"/>
        <v>0</v>
      </c>
      <c r="P13" s="53">
        <f>P145</f>
        <v>0</v>
      </c>
      <c r="Q13" s="53">
        <f t="shared" si="7"/>
        <v>78648.343936000005</v>
      </c>
      <c r="W13" s="174"/>
      <c r="X13" s="284"/>
    </row>
    <row r="14" spans="1:25">
      <c r="A14" s="49" t="str">
        <f>A148</f>
        <v>LINCOLN CO HOSPITAL DISTRICT</v>
      </c>
      <c r="B14" s="48">
        <f t="shared" ref="B14:Q14" si="8">B157</f>
        <v>0.26790000000000003</v>
      </c>
      <c r="C14" s="402">
        <f t="shared" si="8"/>
        <v>0</v>
      </c>
      <c r="D14" s="43">
        <f t="shared" si="8"/>
        <v>4681</v>
      </c>
      <c r="E14" s="173"/>
      <c r="F14" s="43">
        <f t="shared" si="8"/>
        <v>425962571</v>
      </c>
      <c r="G14" s="53">
        <f t="shared" si="8"/>
        <v>63634.049999999996</v>
      </c>
      <c r="H14" s="53">
        <f t="shared" si="8"/>
        <v>1080164.823471</v>
      </c>
      <c r="I14" s="53">
        <f t="shared" si="8"/>
        <v>0</v>
      </c>
      <c r="J14" s="53">
        <f t="shared" si="8"/>
        <v>52238.19</v>
      </c>
      <c r="K14" s="53">
        <f t="shared" si="8"/>
        <v>229.54</v>
      </c>
      <c r="L14" s="53">
        <f t="shared" si="8"/>
        <v>1091790.2234709999</v>
      </c>
      <c r="M14" s="53">
        <f t="shared" si="8"/>
        <v>75425.77</v>
      </c>
      <c r="N14" s="53">
        <f t="shared" si="8"/>
        <v>1016364.453471</v>
      </c>
      <c r="O14" s="53">
        <f t="shared" si="8"/>
        <v>0</v>
      </c>
      <c r="P14" s="53">
        <f>P157</f>
        <v>141390.37999999998</v>
      </c>
      <c r="Q14" s="53">
        <f t="shared" si="8"/>
        <v>874974.07347099995</v>
      </c>
      <c r="S14" s="53">
        <f>SUM(L14:L20)</f>
        <v>1960949.735237</v>
      </c>
      <c r="T14" s="53">
        <f>SUM(Q14:Q20)</f>
        <v>1563070.8752369999</v>
      </c>
      <c r="W14" s="174"/>
      <c r="X14" s="284">
        <f t="shared" si="2"/>
        <v>10069851.009913659</v>
      </c>
    </row>
    <row r="15" spans="1:25">
      <c r="A15" s="55" t="str">
        <f>A160</f>
        <v>PAHRANAGAT VALLEY FIRE DISTRICT</v>
      </c>
      <c r="B15" s="48">
        <f t="shared" ref="B15:Q15" si="9">B169</f>
        <v>0.2334</v>
      </c>
      <c r="C15" s="402">
        <f t="shared" si="9"/>
        <v>0</v>
      </c>
      <c r="D15" s="43">
        <f t="shared" si="9"/>
        <v>825</v>
      </c>
      <c r="E15" s="173"/>
      <c r="F15" s="43">
        <f t="shared" si="9"/>
        <v>42496020.808174804</v>
      </c>
      <c r="G15" s="53">
        <f t="shared" si="9"/>
        <v>3525.5568199999998</v>
      </c>
      <c r="H15" s="53">
        <f t="shared" si="9"/>
        <v>95762.355146000002</v>
      </c>
      <c r="I15" s="53">
        <f t="shared" si="9"/>
        <v>0</v>
      </c>
      <c r="J15" s="53">
        <f t="shared" si="9"/>
        <v>296.46999999999997</v>
      </c>
      <c r="K15" s="53">
        <f t="shared" si="9"/>
        <v>35.72</v>
      </c>
      <c r="L15" s="53">
        <f t="shared" si="9"/>
        <v>99027.161965999985</v>
      </c>
      <c r="M15" s="53">
        <f t="shared" si="9"/>
        <v>6962.32</v>
      </c>
      <c r="N15" s="53">
        <f t="shared" si="9"/>
        <v>92064.841965999993</v>
      </c>
      <c r="O15" s="53">
        <f t="shared" si="9"/>
        <v>0</v>
      </c>
      <c r="P15" s="53">
        <f>P169</f>
        <v>4151.1000000000004</v>
      </c>
      <c r="Q15" s="53">
        <f t="shared" si="9"/>
        <v>87913.741965999987</v>
      </c>
    </row>
    <row r="16" spans="1:25">
      <c r="A16" s="49" t="str">
        <f>A172</f>
        <v>PIOCHE FIRE PROTECTION DISTRICT</v>
      </c>
      <c r="B16" s="48">
        <f t="shared" ref="B16:Q16" si="10">B181</f>
        <v>0.2</v>
      </c>
      <c r="C16" s="402">
        <f t="shared" si="10"/>
        <v>0</v>
      </c>
      <c r="D16" s="43">
        <f t="shared" si="10"/>
        <v>1104</v>
      </c>
      <c r="E16" s="173"/>
      <c r="F16" s="43">
        <f t="shared" si="10"/>
        <v>30046449.380000003</v>
      </c>
      <c r="G16" s="53">
        <f t="shared" si="10"/>
        <v>1866.876</v>
      </c>
      <c r="H16" s="53">
        <f t="shared" si="10"/>
        <v>58948.061999999998</v>
      </c>
      <c r="I16" s="53">
        <f t="shared" si="10"/>
        <v>0</v>
      </c>
      <c r="J16" s="53">
        <f t="shared" si="10"/>
        <v>871.53</v>
      </c>
      <c r="K16" s="53">
        <f t="shared" si="10"/>
        <v>2.63</v>
      </c>
      <c r="L16" s="53">
        <f t="shared" si="10"/>
        <v>59946.038000000008</v>
      </c>
      <c r="M16" s="53">
        <f t="shared" si="10"/>
        <v>4119.62</v>
      </c>
      <c r="N16" s="53">
        <f t="shared" si="10"/>
        <v>55826.418000000012</v>
      </c>
      <c r="O16" s="53">
        <f t="shared" si="10"/>
        <v>0</v>
      </c>
      <c r="P16" s="53">
        <f>P181</f>
        <v>56.879999999999995</v>
      </c>
      <c r="Q16" s="53">
        <f t="shared" si="10"/>
        <v>55769.538000000008</v>
      </c>
    </row>
    <row r="17" spans="1:17" hidden="1">
      <c r="A17" s="49" t="str">
        <f>A184</f>
        <v>COYOTE SPRINGS</v>
      </c>
      <c r="B17" s="48">
        <f t="shared" ref="B17:O17" si="11">+B193</f>
        <v>0</v>
      </c>
      <c r="C17" s="402">
        <f t="shared" si="11"/>
        <v>0</v>
      </c>
      <c r="D17" s="43">
        <f t="shared" si="11"/>
        <v>0</v>
      </c>
      <c r="E17" s="173"/>
      <c r="F17" s="43"/>
      <c r="G17" s="53"/>
      <c r="H17" s="53">
        <f t="shared" si="11"/>
        <v>0</v>
      </c>
      <c r="I17" s="53"/>
      <c r="J17" s="53">
        <f t="shared" si="11"/>
        <v>0</v>
      </c>
      <c r="K17" s="53">
        <f t="shared" si="11"/>
        <v>0</v>
      </c>
      <c r="L17" s="53"/>
      <c r="M17" s="53">
        <f t="shared" si="11"/>
        <v>0</v>
      </c>
      <c r="N17" s="53"/>
      <c r="O17" s="53">
        <f t="shared" si="11"/>
        <v>0</v>
      </c>
      <c r="P17" s="53">
        <f>+P193</f>
        <v>0</v>
      </c>
      <c r="Q17" s="53">
        <v>0</v>
      </c>
    </row>
    <row r="18" spans="1:17">
      <c r="A18" s="49" t="str">
        <f>A196</f>
        <v>LINCOLN COUNTY FIRE DISTRICT</v>
      </c>
      <c r="B18" s="48">
        <f>+B205</f>
        <v>0.22</v>
      </c>
      <c r="C18" s="402">
        <f>+C205</f>
        <v>0</v>
      </c>
      <c r="D18" s="43">
        <f>+D205</f>
        <v>2184</v>
      </c>
      <c r="E18" s="173"/>
      <c r="F18" s="43">
        <f>+F205</f>
        <v>331661871.85999995</v>
      </c>
      <c r="G18" s="53">
        <f t="shared" ref="G18:Q18" si="12">+G205</f>
        <v>48574.879999999997</v>
      </c>
      <c r="H18" s="53">
        <f t="shared" si="12"/>
        <v>681498.61800000013</v>
      </c>
      <c r="I18" s="53">
        <f t="shared" si="12"/>
        <v>0</v>
      </c>
      <c r="J18" s="53">
        <f t="shared" si="12"/>
        <v>40791.909999999996</v>
      </c>
      <c r="K18" s="53">
        <f t="shared" si="12"/>
        <v>76.72</v>
      </c>
      <c r="L18" s="53">
        <f t="shared" si="12"/>
        <v>689358.30800000008</v>
      </c>
      <c r="M18" s="53">
        <f t="shared" si="12"/>
        <v>40735.919999999998</v>
      </c>
      <c r="N18" s="53">
        <f t="shared" si="12"/>
        <v>648622.38800000015</v>
      </c>
      <c r="O18" s="53">
        <f t="shared" si="12"/>
        <v>0</v>
      </c>
      <c r="P18" s="53">
        <f t="shared" si="12"/>
        <v>115770.54999999999</v>
      </c>
      <c r="Q18" s="53">
        <f t="shared" si="12"/>
        <v>532851.83800000011</v>
      </c>
    </row>
    <row r="19" spans="1:17">
      <c r="A19" s="49" t="str">
        <f>A208</f>
        <v>SLCHCP GID</v>
      </c>
      <c r="B19" s="48">
        <f>+B217</f>
        <v>0.03</v>
      </c>
      <c r="C19" s="402">
        <f>+C217</f>
        <v>0</v>
      </c>
      <c r="D19" s="43">
        <f>+D217</f>
        <v>21</v>
      </c>
      <c r="E19" s="173"/>
      <c r="F19" s="43">
        <f>+F217</f>
        <v>69426904.450000003</v>
      </c>
      <c r="G19" s="53">
        <f t="shared" ref="G19:Q19" si="13">+G217</f>
        <v>4802.12</v>
      </c>
      <c r="H19" s="53">
        <f t="shared" si="13"/>
        <v>16025.9238</v>
      </c>
      <c r="I19" s="53">
        <f t="shared" si="13"/>
        <v>0</v>
      </c>
      <c r="J19" s="53">
        <f t="shared" si="13"/>
        <v>0.04</v>
      </c>
      <c r="K19" s="53">
        <f t="shared" si="13"/>
        <v>0</v>
      </c>
      <c r="L19" s="53">
        <f t="shared" si="13"/>
        <v>20828.003800000002</v>
      </c>
      <c r="M19" s="53">
        <f t="shared" si="13"/>
        <v>18.25</v>
      </c>
      <c r="N19" s="53">
        <f t="shared" si="13"/>
        <v>20809.753800000002</v>
      </c>
      <c r="O19" s="53">
        <f t="shared" si="13"/>
        <v>0</v>
      </c>
      <c r="P19" s="53">
        <f t="shared" si="13"/>
        <v>9248.07</v>
      </c>
      <c r="Q19" s="53">
        <f t="shared" si="13"/>
        <v>11561.683800000003</v>
      </c>
    </row>
    <row r="20" spans="1:17" hidden="1">
      <c r="A20" s="49" t="str">
        <f>A220</f>
        <v>PANACA FIRE</v>
      </c>
      <c r="B20" s="48">
        <f>B229</f>
        <v>0</v>
      </c>
      <c r="C20" s="402">
        <f t="shared" ref="C20:Q20" si="14">C229</f>
        <v>0</v>
      </c>
      <c r="D20" s="43">
        <f t="shared" si="14"/>
        <v>0</v>
      </c>
      <c r="E20" s="173"/>
      <c r="F20" s="43">
        <f t="shared" si="14"/>
        <v>0</v>
      </c>
      <c r="G20" s="53">
        <f t="shared" si="14"/>
        <v>0</v>
      </c>
      <c r="H20" s="53">
        <f t="shared" si="14"/>
        <v>0</v>
      </c>
      <c r="I20" s="53">
        <f t="shared" si="14"/>
        <v>0</v>
      </c>
      <c r="J20" s="53">
        <f t="shared" si="14"/>
        <v>0</v>
      </c>
      <c r="K20" s="53">
        <f t="shared" si="14"/>
        <v>0</v>
      </c>
      <c r="L20" s="53">
        <f t="shared" si="14"/>
        <v>0</v>
      </c>
      <c r="M20" s="53">
        <f t="shared" si="14"/>
        <v>0</v>
      </c>
      <c r="N20" s="53">
        <f t="shared" si="14"/>
        <v>0</v>
      </c>
      <c r="O20" s="53">
        <f t="shared" si="14"/>
        <v>0</v>
      </c>
      <c r="P20" s="53">
        <f t="shared" si="14"/>
        <v>0</v>
      </c>
      <c r="Q20" s="53">
        <f t="shared" si="14"/>
        <v>0</v>
      </c>
    </row>
    <row r="21" spans="1:17">
      <c r="A21" s="57"/>
      <c r="B21" s="51"/>
      <c r="C21" s="438"/>
      <c r="D21" s="52"/>
      <c r="E21" s="203"/>
      <c r="F21" s="52"/>
      <c r="G21" s="53"/>
      <c r="H21" s="53"/>
      <c r="I21" s="53"/>
      <c r="J21" s="53"/>
      <c r="K21" s="53"/>
      <c r="L21" s="53"/>
      <c r="M21" s="53"/>
      <c r="N21" s="502"/>
      <c r="O21" s="53"/>
      <c r="P21" s="53"/>
    </row>
    <row r="22" spans="1:17" ht="13.5" thickBot="1">
      <c r="A22" s="57" t="s">
        <v>14</v>
      </c>
      <c r="B22" s="51"/>
      <c r="C22" s="438"/>
      <c r="D22" s="69">
        <f>D7</f>
        <v>4681</v>
      </c>
      <c r="E22" s="204"/>
      <c r="F22" s="69">
        <f>F7</f>
        <v>407450780.63999999</v>
      </c>
      <c r="G22" s="70">
        <f t="shared" ref="G22:Q22" si="15">SUM(G7:G21)</f>
        <v>727867.00151800015</v>
      </c>
      <c r="H22" s="70">
        <f t="shared" si="15"/>
        <v>12355065.601717005</v>
      </c>
      <c r="I22" s="70">
        <f t="shared" si="15"/>
        <v>0</v>
      </c>
      <c r="J22" s="70">
        <f t="shared" si="15"/>
        <v>582876.89</v>
      </c>
      <c r="K22" s="70">
        <f t="shared" si="15"/>
        <v>2801.0699999999997</v>
      </c>
      <c r="L22" s="70">
        <f t="shared" si="15"/>
        <v>12502856.783235</v>
      </c>
      <c r="M22" s="70">
        <f t="shared" si="15"/>
        <v>853266.5900000002</v>
      </c>
      <c r="N22" s="70">
        <f>SUM(N7:N21)</f>
        <v>11649590.193234999</v>
      </c>
      <c r="O22" s="70">
        <f t="shared" si="15"/>
        <v>0</v>
      </c>
      <c r="P22" s="70">
        <f t="shared" si="15"/>
        <v>1579810.9</v>
      </c>
      <c r="Q22" s="70">
        <f t="shared" si="15"/>
        <v>10069851.009913659</v>
      </c>
    </row>
    <row r="23" spans="1:17" ht="13.5" thickBot="1">
      <c r="A23" s="60"/>
      <c r="B23" s="61"/>
      <c r="C23" s="439"/>
      <c r="D23" s="62"/>
      <c r="E23" s="215"/>
      <c r="F23" s="62"/>
      <c r="G23" s="63"/>
      <c r="H23" s="63"/>
      <c r="I23" s="63"/>
      <c r="J23" s="63"/>
      <c r="K23" s="63"/>
      <c r="L23" s="279" t="s">
        <v>388</v>
      </c>
      <c r="M23" s="280">
        <f>M22/L22</f>
        <v>6.8245730139382219E-2</v>
      </c>
      <c r="N23" s="63"/>
      <c r="O23" s="63"/>
      <c r="P23" s="63"/>
      <c r="Q23" s="63"/>
    </row>
    <row r="24" spans="1:17">
      <c r="A24" s="50"/>
      <c r="B24" s="51"/>
      <c r="C24" s="440"/>
      <c r="D24" s="52"/>
      <c r="E24" s="203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17">
      <c r="A25" s="54" t="s">
        <v>11</v>
      </c>
      <c r="B25" s="51"/>
      <c r="C25" s="437"/>
      <c r="D25" s="52"/>
      <c r="E25" s="203"/>
      <c r="F25" s="52"/>
      <c r="G25" s="102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17">
      <c r="A26" s="47"/>
      <c r="B26" s="48"/>
      <c r="D26" s="43"/>
      <c r="E26" s="65">
        <v>11236546</v>
      </c>
      <c r="F26" s="4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1:17">
      <c r="A27" s="49" t="s">
        <v>15</v>
      </c>
      <c r="B27" s="48">
        <v>0.17</v>
      </c>
      <c r="C27" s="406"/>
      <c r="D27" s="43">
        <v>4681</v>
      </c>
      <c r="E27" s="173">
        <f>G27/B27*100</f>
        <v>17349482.352941174</v>
      </c>
      <c r="F27" s="43">
        <v>245996124</v>
      </c>
      <c r="G27" s="53">
        <v>29494.12</v>
      </c>
      <c r="H27" s="53">
        <v>390293.14</v>
      </c>
      <c r="I27" s="53">
        <v>0</v>
      </c>
      <c r="J27" s="53">
        <v>1593.92</v>
      </c>
      <c r="K27" s="53">
        <v>145.63</v>
      </c>
      <c r="L27" s="53">
        <f>G27+H27+I27-J27+K27</f>
        <v>418338.97000000003</v>
      </c>
      <c r="M27" s="53">
        <v>22599.93</v>
      </c>
      <c r="N27" s="53">
        <f>L27-M27</f>
        <v>395739.04000000004</v>
      </c>
      <c r="O27" s="53">
        <v>0</v>
      </c>
      <c r="P27" s="53">
        <v>52405.74</v>
      </c>
      <c r="Q27" s="53">
        <f>N27-O27-P27</f>
        <v>343333.30000000005</v>
      </c>
    </row>
    <row r="28" spans="1:17">
      <c r="A28" s="47" t="s">
        <v>16</v>
      </c>
      <c r="B28" s="48">
        <f>B$27</f>
        <v>0.17</v>
      </c>
      <c r="C28" s="402"/>
      <c r="D28" s="43"/>
      <c r="E28" s="173">
        <v>17349493</v>
      </c>
      <c r="F28" s="65">
        <f>IF(E26&gt;E27,E26-E27,0)</f>
        <v>0</v>
      </c>
      <c r="G28" s="53">
        <f>F28*(B28-C28)/100</f>
        <v>0</v>
      </c>
      <c r="H28" s="53"/>
      <c r="I28" s="53">
        <f>F28*C28/100</f>
        <v>0</v>
      </c>
      <c r="J28" s="53"/>
      <c r="K28" s="53"/>
      <c r="L28" s="53">
        <f>G28+H28+I28-J28+K28</f>
        <v>0</v>
      </c>
      <c r="M28" s="53"/>
      <c r="N28" s="53">
        <f>L28-M28</f>
        <v>0</v>
      </c>
      <c r="O28" s="53"/>
      <c r="P28" s="53"/>
      <c r="Q28" s="53">
        <f>N28-O28-P28</f>
        <v>0</v>
      </c>
    </row>
    <row r="29" spans="1:17">
      <c r="A29" s="47" t="s">
        <v>17</v>
      </c>
      <c r="B29" s="48">
        <f>B$27</f>
        <v>0.17</v>
      </c>
      <c r="C29" s="402"/>
      <c r="D29" s="43"/>
      <c r="E29" s="173"/>
      <c r="F29" s="66">
        <v>12801849</v>
      </c>
      <c r="G29" s="53"/>
      <c r="H29" s="53">
        <f>F29*(B29-C29)/100</f>
        <v>21763.1433</v>
      </c>
      <c r="I29" s="53">
        <f>F29*C29/100</f>
        <v>0</v>
      </c>
      <c r="J29" s="53">
        <v>0</v>
      </c>
      <c r="K29" s="53">
        <v>0</v>
      </c>
      <c r="L29" s="53">
        <f>G29+H29+I29-J29+K29</f>
        <v>21763.1433</v>
      </c>
      <c r="M29" s="53">
        <v>0</v>
      </c>
      <c r="N29" s="53">
        <f>L29-M29</f>
        <v>21763.1433</v>
      </c>
      <c r="O29" s="53">
        <v>0</v>
      </c>
      <c r="P29" s="53">
        <v>0</v>
      </c>
      <c r="Q29" s="53">
        <f>N29-O29-P29</f>
        <v>21763.1433</v>
      </c>
    </row>
    <row r="30" spans="1:17">
      <c r="A30" s="47" t="s">
        <v>18</v>
      </c>
      <c r="B30" s="48"/>
      <c r="C30" s="402"/>
      <c r="D30" s="43"/>
      <c r="E30" s="173"/>
      <c r="F30" s="4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1:17">
      <c r="A31" s="67" t="s">
        <v>19</v>
      </c>
      <c r="B31" s="48">
        <f>B$27</f>
        <v>0.17</v>
      </c>
      <c r="C31" s="402"/>
      <c r="D31" s="43"/>
      <c r="E31" s="173"/>
      <c r="F31" s="43">
        <v>147601292.91</v>
      </c>
      <c r="G31" s="53">
        <v>9441.94</v>
      </c>
      <c r="H31" s="488">
        <v>273034.84999999998</v>
      </c>
      <c r="I31" s="53">
        <v>0</v>
      </c>
      <c r="J31" s="53">
        <v>31554.6</v>
      </c>
      <c r="K31" s="53">
        <v>0</v>
      </c>
      <c r="L31" s="53">
        <f>G31+H31+I31-J31+K31</f>
        <v>250922.18999999997</v>
      </c>
      <c r="M31" s="53">
        <v>25262.04</v>
      </c>
      <c r="N31" s="53">
        <f>L31-M31</f>
        <v>225660.14999999997</v>
      </c>
      <c r="O31" s="53">
        <v>0</v>
      </c>
      <c r="P31" s="53">
        <v>37299.449999999997</v>
      </c>
      <c r="Q31" s="53">
        <f>N31-O31-P31</f>
        <v>188360.69999999995</v>
      </c>
    </row>
    <row r="32" spans="1:17">
      <c r="A32" s="67" t="s">
        <v>20</v>
      </c>
      <c r="B32" s="48">
        <f>B$27</f>
        <v>0.17</v>
      </c>
      <c r="C32" s="402"/>
      <c r="D32" s="43"/>
      <c r="E32" s="173"/>
      <c r="F32" s="43">
        <v>1051514.73</v>
      </c>
      <c r="G32" s="53">
        <v>1443.8</v>
      </c>
      <c r="H32" s="53">
        <v>343.54</v>
      </c>
      <c r="I32" s="53">
        <v>0</v>
      </c>
      <c r="J32" s="53">
        <v>0</v>
      </c>
      <c r="K32" s="53">
        <v>0</v>
      </c>
      <c r="L32" s="53">
        <f>G32+H32+I32-J32+K32</f>
        <v>1787.34</v>
      </c>
      <c r="M32" s="53">
        <v>0.74</v>
      </c>
      <c r="N32" s="53">
        <f>L32-M32</f>
        <v>1786.6</v>
      </c>
      <c r="O32" s="53">
        <v>0</v>
      </c>
      <c r="P32" s="53">
        <v>16.260000000000002</v>
      </c>
      <c r="Q32" s="53">
        <f>N32-O32-P32</f>
        <v>1770.34</v>
      </c>
    </row>
    <row r="33" spans="1:22">
      <c r="A33" s="47"/>
      <c r="B33" s="48"/>
      <c r="C33" s="402"/>
      <c r="D33" s="43"/>
      <c r="E33" s="173"/>
      <c r="F33" s="4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1:22" s="50" customFormat="1" ht="13.5" thickBot="1">
      <c r="A34" s="60" t="str">
        <f>"TOTAL "&amp;A25</f>
        <v>TOTAL STATE OF NEVADA</v>
      </c>
      <c r="B34" s="68">
        <f>B27</f>
        <v>0.17</v>
      </c>
      <c r="C34" s="441">
        <f>C27</f>
        <v>0</v>
      </c>
      <c r="D34" s="69">
        <f t="shared" ref="D34:Q34" si="16">SUM(D27:D29,D31:D32)</f>
        <v>4681</v>
      </c>
      <c r="E34" s="204"/>
      <c r="F34" s="69">
        <f t="shared" si="16"/>
        <v>407450780.63999999</v>
      </c>
      <c r="G34" s="70">
        <f t="shared" si="16"/>
        <v>40379.86</v>
      </c>
      <c r="H34" s="70">
        <f t="shared" si="16"/>
        <v>685434.67330000002</v>
      </c>
      <c r="I34" s="70">
        <f t="shared" si="16"/>
        <v>0</v>
      </c>
      <c r="J34" s="70">
        <f t="shared" si="16"/>
        <v>33148.519999999997</v>
      </c>
      <c r="K34" s="70">
        <f t="shared" si="16"/>
        <v>145.63</v>
      </c>
      <c r="L34" s="70">
        <f t="shared" si="16"/>
        <v>692811.6433</v>
      </c>
      <c r="M34" s="70">
        <f t="shared" si="16"/>
        <v>47862.71</v>
      </c>
      <c r="N34" s="70">
        <f t="shared" si="16"/>
        <v>644948.93330000003</v>
      </c>
      <c r="O34" s="70">
        <f t="shared" si="16"/>
        <v>0</v>
      </c>
      <c r="P34" s="70">
        <f t="shared" si="16"/>
        <v>89721.45</v>
      </c>
      <c r="Q34" s="70">
        <f t="shared" si="16"/>
        <v>555227.48329999996</v>
      </c>
    </row>
    <row r="35" spans="1:22">
      <c r="A35" s="150" t="s">
        <v>355</v>
      </c>
      <c r="B35" s="48"/>
      <c r="C35" s="402"/>
      <c r="D35" s="43"/>
      <c r="E35" s="173"/>
      <c r="F35" s="64">
        <v>381706404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</row>
    <row r="36" spans="1:22">
      <c r="A36" s="151" t="s">
        <v>30</v>
      </c>
      <c r="B36" s="51"/>
      <c r="C36" s="440"/>
      <c r="D36" s="52"/>
      <c r="E36" s="203"/>
      <c r="F36" s="152">
        <f>F34-F35</f>
        <v>25744376.639999986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T36" s="266" t="s">
        <v>378</v>
      </c>
      <c r="U36" s="266" t="s">
        <v>384</v>
      </c>
      <c r="V36" s="266" t="s">
        <v>227</v>
      </c>
    </row>
    <row r="37" spans="1:22">
      <c r="A37" s="54" t="s">
        <v>12</v>
      </c>
      <c r="B37" s="48"/>
      <c r="C37" s="402"/>
      <c r="D37" s="43"/>
      <c r="E37" s="173"/>
      <c r="F37" s="43"/>
      <c r="G37" s="102"/>
      <c r="H37" s="53"/>
      <c r="I37" s="53"/>
      <c r="J37" s="53"/>
      <c r="K37" s="53"/>
      <c r="L37" s="53"/>
      <c r="M37" s="53"/>
      <c r="N37" s="53"/>
      <c r="O37" s="53"/>
      <c r="P37" s="53"/>
      <c r="Q37" s="53"/>
      <c r="T37" s="266" t="s">
        <v>379</v>
      </c>
      <c r="U37" s="266" t="s">
        <v>385</v>
      </c>
      <c r="V37" s="266" t="s">
        <v>382</v>
      </c>
    </row>
    <row r="38" spans="1:22">
      <c r="A38" s="47"/>
      <c r="B38" s="48"/>
      <c r="C38" s="402"/>
      <c r="D38" s="43"/>
      <c r="E38" s="173"/>
      <c r="F38" s="463">
        <f>(G57+H57)/B57*100</f>
        <v>246933765.98130843</v>
      </c>
      <c r="G38" s="463"/>
      <c r="H38" s="464">
        <f>F38-J38</f>
        <v>245996151.0280374</v>
      </c>
      <c r="I38" s="463"/>
      <c r="J38" s="463">
        <f>J57/B57*100</f>
        <v>937614.95327102789</v>
      </c>
      <c r="K38" s="53"/>
      <c r="L38" s="53"/>
      <c r="M38" s="53"/>
      <c r="N38" s="53"/>
      <c r="O38" s="53"/>
      <c r="P38" s="53"/>
      <c r="Q38" s="53"/>
      <c r="T38" s="266"/>
      <c r="U38" s="266" t="s">
        <v>381</v>
      </c>
      <c r="V38" s="266" t="s">
        <v>383</v>
      </c>
    </row>
    <row r="39" spans="1:22">
      <c r="A39" s="49" t="s">
        <v>15</v>
      </c>
      <c r="B39" s="48"/>
      <c r="C39" s="402"/>
      <c r="D39" s="43"/>
      <c r="E39" s="173"/>
      <c r="F39" s="4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T39" s="266"/>
      <c r="U39" s="266"/>
      <c r="V39" s="266"/>
    </row>
    <row r="40" spans="1:22">
      <c r="A40" s="103" t="s">
        <v>85</v>
      </c>
      <c r="B40" s="48">
        <v>1.2123999999999999</v>
      </c>
      <c r="C40" s="402">
        <v>0</v>
      </c>
      <c r="D40" s="43">
        <v>4681</v>
      </c>
      <c r="E40" s="173"/>
      <c r="F40" s="43">
        <v>245996124</v>
      </c>
      <c r="G40" s="53">
        <v>210345.3</v>
      </c>
      <c r="H40" s="53">
        <v>2783479.96</v>
      </c>
      <c r="I40" s="53">
        <v>0</v>
      </c>
      <c r="J40" s="53">
        <v>11367.76</v>
      </c>
      <c r="K40" s="53">
        <v>1038.7</v>
      </c>
      <c r="L40" s="53">
        <f>G40+H40+I40-J40+K40</f>
        <v>2983496.2</v>
      </c>
      <c r="M40" s="53">
        <v>161175.79</v>
      </c>
      <c r="N40" s="53">
        <f>L40-M40</f>
        <v>2822320.41</v>
      </c>
      <c r="O40" s="53">
        <v>0</v>
      </c>
      <c r="P40" s="53">
        <v>373745.41</v>
      </c>
      <c r="Q40" s="53">
        <f>N40-O40-P40</f>
        <v>2448575</v>
      </c>
      <c r="T40" s="267">
        <f>B40/$B$57</f>
        <v>0.9064672897196262</v>
      </c>
      <c r="U40" s="153">
        <f>$T$62*T40</f>
        <v>1511180.6111870282</v>
      </c>
      <c r="V40" s="153">
        <f>Q40+U40</f>
        <v>3959755.6111870282</v>
      </c>
    </row>
    <row r="41" spans="1:22">
      <c r="A41" s="103" t="s">
        <v>149</v>
      </c>
      <c r="B41" s="48">
        <v>0.01</v>
      </c>
      <c r="C41" s="402">
        <v>0</v>
      </c>
      <c r="D41" s="43">
        <v>4681</v>
      </c>
      <c r="E41" s="173"/>
      <c r="F41" s="43">
        <v>245996124</v>
      </c>
      <c r="G41" s="53">
        <v>1734.9</v>
      </c>
      <c r="H41" s="53">
        <v>22958.92</v>
      </c>
      <c r="I41" s="53">
        <v>0</v>
      </c>
      <c r="J41" s="53">
        <v>93.73</v>
      </c>
      <c r="K41" s="53">
        <v>8.5500000000000007</v>
      </c>
      <c r="L41" s="53">
        <f t="shared" ref="L41:L51" si="17">G41+H41+I41-J41+K41</f>
        <v>24608.639999999999</v>
      </c>
      <c r="M41" s="53">
        <v>1329.23</v>
      </c>
      <c r="N41" s="53">
        <f t="shared" ref="N41:N51" si="18">L41-M41</f>
        <v>23279.41</v>
      </c>
      <c r="O41" s="53">
        <v>0</v>
      </c>
      <c r="P41" s="53">
        <v>3082.7</v>
      </c>
      <c r="Q41" s="53">
        <f t="shared" ref="Q41:Q55" si="19">N41-O41-P41</f>
        <v>20196.71</v>
      </c>
      <c r="T41" s="267">
        <f t="shared" ref="T41:T55" si="20">B41/$B$57</f>
        <v>7.4766355140186919E-3</v>
      </c>
      <c r="U41" s="153">
        <f t="shared" ref="U41:U55" si="21">$T$62*T41</f>
        <v>12464.3732364486</v>
      </c>
      <c r="V41" s="153">
        <f t="shared" ref="V41:V55" si="22">Q41+U41</f>
        <v>32661.083236448598</v>
      </c>
    </row>
    <row r="42" spans="1:22">
      <c r="A42" s="103" t="s">
        <v>114</v>
      </c>
      <c r="B42" s="48">
        <v>3.5900000000000001E-2</v>
      </c>
      <c r="C42" s="402">
        <v>0</v>
      </c>
      <c r="D42" s="43">
        <v>4681</v>
      </c>
      <c r="E42" s="173"/>
      <c r="F42" s="43">
        <v>245996124</v>
      </c>
      <c r="G42" s="53">
        <v>6228.51</v>
      </c>
      <c r="H42" s="53">
        <v>82420.12</v>
      </c>
      <c r="I42" s="53">
        <v>0</v>
      </c>
      <c r="J42" s="53">
        <v>336.57</v>
      </c>
      <c r="K42" s="53">
        <v>30.76</v>
      </c>
      <c r="L42" s="53">
        <f t="shared" si="17"/>
        <v>88342.819999999978</v>
      </c>
      <c r="M42" s="53">
        <v>4772.57</v>
      </c>
      <c r="N42" s="53">
        <f t="shared" si="18"/>
        <v>83570.249999999971</v>
      </c>
      <c r="O42" s="53">
        <v>0</v>
      </c>
      <c r="P42" s="53">
        <v>11066.86</v>
      </c>
      <c r="Q42" s="53">
        <f t="shared" si="19"/>
        <v>72503.38999999997</v>
      </c>
      <c r="T42" s="267">
        <f t="shared" si="20"/>
        <v>2.6841121495327105E-2</v>
      </c>
      <c r="U42" s="153">
        <f t="shared" si="21"/>
        <v>44747.099918850479</v>
      </c>
      <c r="V42" s="153">
        <f t="shared" si="22"/>
        <v>117250.48991885045</v>
      </c>
    </row>
    <row r="43" spans="1:22">
      <c r="A43" s="103" t="s">
        <v>164</v>
      </c>
      <c r="B43" s="48">
        <v>4.2000000000000003E-2</v>
      </c>
      <c r="C43" s="402">
        <v>0</v>
      </c>
      <c r="D43" s="43">
        <v>4681</v>
      </c>
      <c r="E43" s="173"/>
      <c r="F43" s="43">
        <v>245996124</v>
      </c>
      <c r="G43" s="53">
        <v>7286.77</v>
      </c>
      <c r="H43" s="53">
        <v>96425.34</v>
      </c>
      <c r="I43" s="53">
        <v>0</v>
      </c>
      <c r="J43" s="53">
        <v>393.77</v>
      </c>
      <c r="K43" s="53">
        <v>35.99</v>
      </c>
      <c r="L43" s="53">
        <f t="shared" si="17"/>
        <v>103354.33</v>
      </c>
      <c r="M43" s="53">
        <v>5583.48</v>
      </c>
      <c r="N43" s="53">
        <f t="shared" si="18"/>
        <v>97770.85</v>
      </c>
      <c r="O43" s="53">
        <v>0</v>
      </c>
      <c r="P43" s="53">
        <v>12947.3</v>
      </c>
      <c r="Q43" s="53">
        <f t="shared" si="19"/>
        <v>84823.55</v>
      </c>
      <c r="T43" s="267">
        <f t="shared" si="20"/>
        <v>3.1401869158878506E-2</v>
      </c>
      <c r="U43" s="153">
        <f t="shared" si="21"/>
        <v>52350.36759308412</v>
      </c>
      <c r="V43" s="153">
        <f t="shared" si="22"/>
        <v>137173.91759308413</v>
      </c>
    </row>
    <row r="44" spans="1:22">
      <c r="A44" s="103" t="s">
        <v>113</v>
      </c>
      <c r="B44" s="48">
        <v>0.01</v>
      </c>
      <c r="C44" s="402">
        <v>0</v>
      </c>
      <c r="D44" s="43">
        <v>4681</v>
      </c>
      <c r="E44" s="173"/>
      <c r="F44" s="43">
        <v>245996124</v>
      </c>
      <c r="G44" s="53">
        <v>1734.9</v>
      </c>
      <c r="H44" s="53">
        <v>22958.74</v>
      </c>
      <c r="I44" s="53">
        <v>0</v>
      </c>
      <c r="J44" s="53">
        <v>93.72</v>
      </c>
      <c r="K44" s="53">
        <v>8.57</v>
      </c>
      <c r="L44" s="53">
        <f t="shared" si="17"/>
        <v>24608.49</v>
      </c>
      <c r="M44" s="53">
        <v>1329.31</v>
      </c>
      <c r="N44" s="53">
        <f t="shared" si="18"/>
        <v>23279.18</v>
      </c>
      <c r="O44" s="53">
        <v>0</v>
      </c>
      <c r="P44" s="53">
        <v>3082.7</v>
      </c>
      <c r="Q44" s="53">
        <f t="shared" si="19"/>
        <v>20196.48</v>
      </c>
      <c r="T44" s="267">
        <f t="shared" si="20"/>
        <v>7.4766355140186919E-3</v>
      </c>
      <c r="U44" s="153">
        <f t="shared" si="21"/>
        <v>12464.3732364486</v>
      </c>
      <c r="V44" s="153">
        <f t="shared" si="22"/>
        <v>32660.853236448602</v>
      </c>
    </row>
    <row r="45" spans="1:22">
      <c r="A45" s="103" t="s">
        <v>165</v>
      </c>
      <c r="B45" s="48">
        <v>1.4999999999999999E-2</v>
      </c>
      <c r="C45" s="402">
        <v>0</v>
      </c>
      <c r="D45" s="43">
        <v>4681</v>
      </c>
      <c r="E45" s="173"/>
      <c r="F45" s="43">
        <v>245996124</v>
      </c>
      <c r="G45" s="53">
        <v>2602.4299999999998</v>
      </c>
      <c r="H45" s="53">
        <v>34437.18</v>
      </c>
      <c r="I45" s="53">
        <v>0</v>
      </c>
      <c r="J45" s="53">
        <v>140.65</v>
      </c>
      <c r="K45" s="53">
        <v>12.85</v>
      </c>
      <c r="L45" s="53">
        <f t="shared" si="17"/>
        <v>36911.81</v>
      </c>
      <c r="M45" s="53">
        <v>1993.98</v>
      </c>
      <c r="N45" s="53">
        <f t="shared" si="18"/>
        <v>34917.829999999994</v>
      </c>
      <c r="O45" s="53">
        <v>0</v>
      </c>
      <c r="P45" s="53">
        <v>4624.04</v>
      </c>
      <c r="Q45" s="53">
        <f t="shared" si="19"/>
        <v>30293.789999999994</v>
      </c>
      <c r="T45" s="267">
        <f t="shared" si="20"/>
        <v>1.1214953271028038E-2</v>
      </c>
      <c r="U45" s="153">
        <f t="shared" si="21"/>
        <v>18696.559854672902</v>
      </c>
      <c r="V45" s="153">
        <f t="shared" si="22"/>
        <v>48990.349854672895</v>
      </c>
    </row>
    <row r="46" spans="1:22">
      <c r="A46" s="103" t="s">
        <v>166</v>
      </c>
      <c r="B46" s="48">
        <v>0</v>
      </c>
      <c r="C46" s="402">
        <v>0</v>
      </c>
      <c r="D46" s="43">
        <v>4681</v>
      </c>
      <c r="E46" s="173"/>
      <c r="F46" s="43">
        <v>245996124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f t="shared" si="17"/>
        <v>0</v>
      </c>
      <c r="M46" s="53">
        <v>0</v>
      </c>
      <c r="N46" s="53">
        <f t="shared" si="18"/>
        <v>0</v>
      </c>
      <c r="O46" s="53">
        <v>0</v>
      </c>
      <c r="P46" s="53">
        <v>0</v>
      </c>
      <c r="Q46" s="53">
        <f t="shared" si="19"/>
        <v>0</v>
      </c>
      <c r="T46" s="267">
        <f t="shared" si="20"/>
        <v>0</v>
      </c>
      <c r="U46" s="153">
        <f t="shared" si="21"/>
        <v>0</v>
      </c>
      <c r="V46" s="153">
        <f t="shared" si="22"/>
        <v>0</v>
      </c>
    </row>
    <row r="47" spans="1:22">
      <c r="A47" s="103" t="s">
        <v>167</v>
      </c>
      <c r="B47" s="48">
        <v>1E-3</v>
      </c>
      <c r="C47" s="402">
        <v>0</v>
      </c>
      <c r="D47" s="43">
        <v>4681</v>
      </c>
      <c r="E47" s="173"/>
      <c r="F47" s="43">
        <v>245996124</v>
      </c>
      <c r="G47" s="53">
        <v>173.5</v>
      </c>
      <c r="H47" s="53">
        <v>2295.0500000000002</v>
      </c>
      <c r="I47" s="53">
        <v>0</v>
      </c>
      <c r="J47" s="53">
        <v>9.39</v>
      </c>
      <c r="K47" s="53">
        <v>0.86</v>
      </c>
      <c r="L47" s="53">
        <f t="shared" si="17"/>
        <v>2460.0200000000004</v>
      </c>
      <c r="M47" s="53">
        <v>132.79</v>
      </c>
      <c r="N47" s="53">
        <f t="shared" si="18"/>
        <v>2327.2300000000005</v>
      </c>
      <c r="O47" s="53">
        <v>0</v>
      </c>
      <c r="P47" s="53">
        <v>308.27</v>
      </c>
      <c r="Q47" s="53">
        <f t="shared" si="19"/>
        <v>2018.9600000000005</v>
      </c>
      <c r="T47" s="267">
        <f t="shared" si="20"/>
        <v>7.4766355140186923E-4</v>
      </c>
      <c r="U47" s="153">
        <f t="shared" si="21"/>
        <v>1246.43732364486</v>
      </c>
      <c r="V47" s="153">
        <f t="shared" si="22"/>
        <v>3265.3973236448605</v>
      </c>
    </row>
    <row r="48" spans="1:22">
      <c r="A48" s="103" t="s">
        <v>168</v>
      </c>
      <c r="B48" s="48">
        <v>2E-3</v>
      </c>
      <c r="C48" s="402">
        <v>0</v>
      </c>
      <c r="D48" s="43">
        <v>4681</v>
      </c>
      <c r="E48" s="173"/>
      <c r="F48" s="43">
        <v>245996124</v>
      </c>
      <c r="G48" s="53">
        <v>347</v>
      </c>
      <c r="H48" s="53">
        <v>4591.82</v>
      </c>
      <c r="I48" s="53">
        <v>0</v>
      </c>
      <c r="J48" s="53">
        <v>18.760000000000002</v>
      </c>
      <c r="K48" s="53">
        <v>1.71</v>
      </c>
      <c r="L48" s="53">
        <f t="shared" si="17"/>
        <v>4921.7699999999995</v>
      </c>
      <c r="M48" s="53">
        <v>265.64999999999998</v>
      </c>
      <c r="N48" s="53">
        <f t="shared" si="18"/>
        <v>4656.12</v>
      </c>
      <c r="O48" s="53">
        <v>0</v>
      </c>
      <c r="P48" s="53">
        <v>616.54</v>
      </c>
      <c r="Q48" s="53">
        <f t="shared" si="19"/>
        <v>4039.58</v>
      </c>
      <c r="T48" s="267">
        <f t="shared" si="20"/>
        <v>1.4953271028037385E-3</v>
      </c>
      <c r="U48" s="153">
        <f t="shared" si="21"/>
        <v>2492.8746472897201</v>
      </c>
      <c r="V48" s="153">
        <f t="shared" si="22"/>
        <v>6532.45464728972</v>
      </c>
    </row>
    <row r="49" spans="1:22">
      <c r="A49" s="103" t="s">
        <v>169</v>
      </c>
      <c r="B49" s="48">
        <v>1.5E-3</v>
      </c>
      <c r="C49" s="402">
        <v>0</v>
      </c>
      <c r="D49" s="43">
        <v>4681</v>
      </c>
      <c r="E49" s="173"/>
      <c r="F49" s="43">
        <v>245996124</v>
      </c>
      <c r="G49" s="53">
        <v>260.2</v>
      </c>
      <c r="H49" s="53">
        <v>3444.08</v>
      </c>
      <c r="I49" s="53">
        <v>0</v>
      </c>
      <c r="J49" s="53">
        <v>14.05</v>
      </c>
      <c r="K49" s="53">
        <v>1.29</v>
      </c>
      <c r="L49" s="53">
        <f t="shared" si="17"/>
        <v>3691.5199999999995</v>
      </c>
      <c r="M49" s="53">
        <v>199.6</v>
      </c>
      <c r="N49" s="53">
        <f t="shared" si="18"/>
        <v>3491.9199999999996</v>
      </c>
      <c r="O49" s="53">
        <v>0</v>
      </c>
      <c r="P49" s="53">
        <v>462.4</v>
      </c>
      <c r="Q49" s="53">
        <f t="shared" si="19"/>
        <v>3029.5199999999995</v>
      </c>
      <c r="T49" s="267">
        <f t="shared" si="20"/>
        <v>1.1214953271028037E-3</v>
      </c>
      <c r="U49" s="153">
        <f t="shared" si="21"/>
        <v>1869.6559854672901</v>
      </c>
      <c r="V49" s="153">
        <f t="shared" si="22"/>
        <v>4899.1759854672891</v>
      </c>
    </row>
    <row r="50" spans="1:22">
      <c r="A50" s="103" t="s">
        <v>170</v>
      </c>
      <c r="B50" s="48">
        <v>3.5000000000000001E-3</v>
      </c>
      <c r="C50" s="402">
        <v>0</v>
      </c>
      <c r="D50" s="43">
        <v>4681</v>
      </c>
      <c r="E50" s="173"/>
      <c r="F50" s="43">
        <v>245996124</v>
      </c>
      <c r="G50" s="53">
        <v>607.33000000000004</v>
      </c>
      <c r="H50" s="53">
        <v>8036.05</v>
      </c>
      <c r="I50" s="53">
        <v>0</v>
      </c>
      <c r="J50" s="53">
        <v>32.82</v>
      </c>
      <c r="K50" s="53">
        <v>3</v>
      </c>
      <c r="L50" s="53">
        <f t="shared" si="17"/>
        <v>8613.5600000000013</v>
      </c>
      <c r="M50" s="53">
        <v>465.24</v>
      </c>
      <c r="N50" s="53">
        <f t="shared" si="18"/>
        <v>8148.3200000000015</v>
      </c>
      <c r="O50" s="53">
        <v>0</v>
      </c>
      <c r="P50" s="53">
        <v>1078.94</v>
      </c>
      <c r="Q50" s="53">
        <f t="shared" si="19"/>
        <v>7069.380000000001</v>
      </c>
      <c r="T50" s="267">
        <f t="shared" si="20"/>
        <v>2.6168224299065422E-3</v>
      </c>
      <c r="U50" s="153">
        <f t="shared" si="21"/>
        <v>4362.5306327570106</v>
      </c>
      <c r="V50" s="153">
        <f t="shared" si="22"/>
        <v>11431.910632757012</v>
      </c>
    </row>
    <row r="51" spans="1:22">
      <c r="A51" s="103" t="s">
        <v>171</v>
      </c>
      <c r="B51" s="48">
        <v>4.1999999999999997E-3</v>
      </c>
      <c r="C51" s="402">
        <v>0</v>
      </c>
      <c r="D51" s="43">
        <v>4681</v>
      </c>
      <c r="E51" s="173"/>
      <c r="F51" s="43">
        <v>245996124</v>
      </c>
      <c r="G51" s="53">
        <v>728.7</v>
      </c>
      <c r="H51" s="53">
        <v>9642.32</v>
      </c>
      <c r="I51" s="53">
        <v>0</v>
      </c>
      <c r="J51" s="53">
        <v>39.380000000000003</v>
      </c>
      <c r="K51" s="53">
        <v>3.61</v>
      </c>
      <c r="L51" s="53">
        <f t="shared" si="17"/>
        <v>10335.250000000002</v>
      </c>
      <c r="M51" s="53">
        <v>558.28</v>
      </c>
      <c r="N51" s="53">
        <f t="shared" si="18"/>
        <v>9776.9700000000012</v>
      </c>
      <c r="O51" s="53">
        <v>0</v>
      </c>
      <c r="P51" s="53">
        <v>1294.73</v>
      </c>
      <c r="Q51" s="53">
        <f t="shared" si="19"/>
        <v>8482.2400000000016</v>
      </c>
      <c r="T51" s="267">
        <f t="shared" si="20"/>
        <v>3.1401869158878505E-3</v>
      </c>
      <c r="U51" s="153">
        <f t="shared" si="21"/>
        <v>5235.036759308412</v>
      </c>
      <c r="V51" s="153">
        <f t="shared" si="22"/>
        <v>13717.276759308414</v>
      </c>
    </row>
    <row r="52" spans="1:22">
      <c r="A52" s="103" t="s">
        <v>172</v>
      </c>
      <c r="B52" s="48">
        <v>0</v>
      </c>
      <c r="C52" s="402">
        <v>0</v>
      </c>
      <c r="D52" s="43">
        <v>4681</v>
      </c>
      <c r="E52" s="173"/>
      <c r="F52" s="43">
        <v>245996124</v>
      </c>
      <c r="G52" s="53">
        <v>0</v>
      </c>
      <c r="H52" s="53">
        <v>0</v>
      </c>
      <c r="I52" s="53"/>
      <c r="J52" s="53">
        <v>0</v>
      </c>
      <c r="K52" s="53">
        <v>0</v>
      </c>
      <c r="L52" s="53"/>
      <c r="M52" s="53">
        <v>0</v>
      </c>
      <c r="N52" s="53"/>
      <c r="O52" s="53"/>
      <c r="P52" s="53">
        <v>0</v>
      </c>
      <c r="Q52" s="53">
        <f t="shared" si="19"/>
        <v>0</v>
      </c>
      <c r="T52" s="267">
        <f t="shared" si="20"/>
        <v>0</v>
      </c>
      <c r="U52" s="153">
        <f t="shared" si="21"/>
        <v>0</v>
      </c>
      <c r="V52" s="153">
        <f t="shared" si="22"/>
        <v>0</v>
      </c>
    </row>
    <row r="53" spans="1:22">
      <c r="A53" s="103" t="s">
        <v>96</v>
      </c>
      <c r="B53" s="48">
        <v>0</v>
      </c>
      <c r="C53" s="402">
        <v>0</v>
      </c>
      <c r="D53" s="43">
        <v>4681</v>
      </c>
      <c r="E53" s="173"/>
      <c r="F53" s="43">
        <v>245996124</v>
      </c>
      <c r="G53" s="53">
        <v>0</v>
      </c>
      <c r="H53" s="53">
        <v>0</v>
      </c>
      <c r="I53" s="53"/>
      <c r="J53" s="53">
        <v>0</v>
      </c>
      <c r="K53" s="53">
        <v>0</v>
      </c>
      <c r="L53" s="53"/>
      <c r="M53" s="53">
        <v>0</v>
      </c>
      <c r="N53" s="53"/>
      <c r="O53" s="53"/>
      <c r="P53" s="53">
        <v>0</v>
      </c>
      <c r="Q53" s="53">
        <f t="shared" si="19"/>
        <v>0</v>
      </c>
      <c r="T53" s="267">
        <f t="shared" si="20"/>
        <v>0</v>
      </c>
      <c r="U53" s="153">
        <f t="shared" si="21"/>
        <v>0</v>
      </c>
      <c r="V53" s="153">
        <f t="shared" si="22"/>
        <v>0</v>
      </c>
    </row>
    <row r="54" spans="1:22">
      <c r="A54" s="103" t="s">
        <v>88</v>
      </c>
      <c r="B54" s="48">
        <v>0</v>
      </c>
      <c r="C54" s="402">
        <v>0</v>
      </c>
      <c r="D54" s="43">
        <v>4681</v>
      </c>
      <c r="E54" s="173"/>
      <c r="F54" s="43">
        <v>245996124</v>
      </c>
      <c r="G54" s="53">
        <v>0</v>
      </c>
      <c r="H54" s="53">
        <v>0</v>
      </c>
      <c r="I54" s="53"/>
      <c r="J54" s="53">
        <v>0</v>
      </c>
      <c r="K54" s="53">
        <v>0</v>
      </c>
      <c r="L54" s="53"/>
      <c r="M54" s="53">
        <v>0</v>
      </c>
      <c r="N54" s="53"/>
      <c r="O54" s="53"/>
      <c r="P54" s="53">
        <v>0</v>
      </c>
      <c r="Q54" s="53">
        <f t="shared" si="19"/>
        <v>0</v>
      </c>
      <c r="T54" s="267">
        <f t="shared" si="20"/>
        <v>0</v>
      </c>
      <c r="U54" s="153">
        <f t="shared" si="21"/>
        <v>0</v>
      </c>
      <c r="V54" s="153">
        <f t="shared" si="22"/>
        <v>0</v>
      </c>
    </row>
    <row r="55" spans="1:22">
      <c r="A55" s="103" t="s">
        <v>173</v>
      </c>
      <c r="B55" s="48">
        <v>0</v>
      </c>
      <c r="C55" s="402">
        <v>0</v>
      </c>
      <c r="D55" s="43">
        <v>4681</v>
      </c>
      <c r="E55" s="173"/>
      <c r="F55" s="43">
        <v>245996124</v>
      </c>
      <c r="G55" s="53">
        <v>0</v>
      </c>
      <c r="H55" s="53">
        <v>0</v>
      </c>
      <c r="I55" s="53"/>
      <c r="J55" s="53">
        <v>0</v>
      </c>
      <c r="K55" s="53">
        <v>0</v>
      </c>
      <c r="L55" s="53"/>
      <c r="M55" s="53">
        <v>0</v>
      </c>
      <c r="N55" s="53"/>
      <c r="O55" s="53"/>
      <c r="P55" s="53">
        <v>0</v>
      </c>
      <c r="Q55" s="53">
        <f t="shared" si="19"/>
        <v>0</v>
      </c>
      <c r="T55" s="267">
        <f t="shared" si="20"/>
        <v>0</v>
      </c>
      <c r="U55" s="153">
        <f t="shared" si="21"/>
        <v>0</v>
      </c>
      <c r="V55" s="153">
        <f t="shared" si="22"/>
        <v>0</v>
      </c>
    </row>
    <row r="56" spans="1:22" s="50" customFormat="1">
      <c r="A56" s="71"/>
      <c r="B56" s="51"/>
      <c r="C56" s="440"/>
      <c r="D56" s="52"/>
      <c r="E56" s="65">
        <v>11236546</v>
      </c>
      <c r="F56" s="52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1:22">
      <c r="A57" s="71" t="s">
        <v>26</v>
      </c>
      <c r="B57" s="48">
        <f>SUM(B40:B56)</f>
        <v>1.3374999999999999</v>
      </c>
      <c r="C57" s="402">
        <f>-SUM(C40:C56)</f>
        <v>0</v>
      </c>
      <c r="D57" s="72">
        <f>+D40</f>
        <v>4681</v>
      </c>
      <c r="E57" s="208">
        <f>G57/B57*100</f>
        <v>17349498.31775701</v>
      </c>
      <c r="F57" s="72">
        <f>+F40</f>
        <v>245996124</v>
      </c>
      <c r="G57" s="73">
        <f t="shared" ref="G57:P57" si="23">SUM(G40:G55)</f>
        <v>232049.53999999998</v>
      </c>
      <c r="H57" s="73">
        <f t="shared" si="23"/>
        <v>3070689.5799999996</v>
      </c>
      <c r="I57" s="73">
        <f t="shared" si="23"/>
        <v>0</v>
      </c>
      <c r="J57" s="73">
        <f t="shared" si="23"/>
        <v>12540.599999999997</v>
      </c>
      <c r="K57" s="73">
        <f t="shared" si="23"/>
        <v>1145.8899999999996</v>
      </c>
      <c r="L57" s="73">
        <f t="shared" si="23"/>
        <v>3291344.4100000006</v>
      </c>
      <c r="M57" s="73">
        <f t="shared" si="23"/>
        <v>177805.92000000004</v>
      </c>
      <c r="N57" s="73">
        <f t="shared" si="23"/>
        <v>3113538.4900000007</v>
      </c>
      <c r="O57" s="73">
        <f t="shared" si="23"/>
        <v>0</v>
      </c>
      <c r="P57" s="73">
        <f t="shared" si="23"/>
        <v>412309.88999999996</v>
      </c>
      <c r="Q57" s="73">
        <f>N57-O57-P57</f>
        <v>2701228.6000000006</v>
      </c>
      <c r="T57" s="267">
        <f>SUM(T40:T55)</f>
        <v>1.0000000000000002</v>
      </c>
      <c r="U57" s="267">
        <f>SUM(U40:U55)</f>
        <v>1667109.9203750002</v>
      </c>
      <c r="V57" s="153">
        <f>SUM(V40:V55)</f>
        <v>4368338.5203750012</v>
      </c>
    </row>
    <row r="58" spans="1:22" ht="21" customHeight="1">
      <c r="A58" s="47" t="s">
        <v>16</v>
      </c>
      <c r="B58" s="48">
        <f>B57</f>
        <v>1.3374999999999999</v>
      </c>
      <c r="C58" s="406">
        <f>C57</f>
        <v>0</v>
      </c>
      <c r="D58" s="43"/>
      <c r="E58" s="173"/>
      <c r="F58" s="65">
        <f>IF(E56&gt;E57,E56-E57,0)</f>
        <v>0</v>
      </c>
      <c r="G58" s="53">
        <f>F58*(B58-C58)/100</f>
        <v>0</v>
      </c>
      <c r="H58" s="53"/>
      <c r="I58" s="53">
        <f>F58*C58/100</f>
        <v>0</v>
      </c>
      <c r="J58" s="53"/>
      <c r="K58" s="53"/>
      <c r="L58" s="53">
        <f>G58+H58+I58-J58+K58</f>
        <v>0</v>
      </c>
      <c r="M58" s="53"/>
      <c r="N58" s="53">
        <f>L58-M58</f>
        <v>0</v>
      </c>
      <c r="O58" s="53"/>
      <c r="P58" s="53"/>
      <c r="Q58" s="53">
        <f>N58-O58-P58</f>
        <v>0</v>
      </c>
    </row>
    <row r="59" spans="1:22" ht="12.75" customHeight="1">
      <c r="A59" s="47" t="s">
        <v>17</v>
      </c>
      <c r="B59" s="48">
        <f>B57</f>
        <v>1.3374999999999999</v>
      </c>
      <c r="C59" s="406">
        <f>C57</f>
        <v>0</v>
      </c>
      <c r="D59" s="43"/>
      <c r="E59" s="173"/>
      <c r="F59" s="66">
        <v>12801849</v>
      </c>
      <c r="G59" s="53"/>
      <c r="H59" s="53">
        <f>F59*(B59-C59)/100</f>
        <v>171224.73037499998</v>
      </c>
      <c r="I59" s="53">
        <f>F59*C59/100</f>
        <v>0</v>
      </c>
      <c r="J59" s="53">
        <v>0</v>
      </c>
      <c r="K59" s="53">
        <v>0</v>
      </c>
      <c r="L59" s="53">
        <f>G59+H59+I59-J59+K59</f>
        <v>171224.73037499998</v>
      </c>
      <c r="M59" s="53">
        <v>0</v>
      </c>
      <c r="N59" s="53">
        <f>L59-M59</f>
        <v>171224.73037499998</v>
      </c>
      <c r="O59" s="53">
        <v>0</v>
      </c>
      <c r="P59" s="53">
        <v>0</v>
      </c>
      <c r="Q59" s="53">
        <f>N59-O59-P59</f>
        <v>171224.73037499998</v>
      </c>
      <c r="T59" s="266" t="s">
        <v>380</v>
      </c>
    </row>
    <row r="60" spans="1:22">
      <c r="A60" s="47" t="s">
        <v>18</v>
      </c>
      <c r="B60" s="48"/>
      <c r="C60" s="406"/>
      <c r="D60" s="43"/>
      <c r="E60" s="173"/>
      <c r="F60" s="4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T60" s="266" t="s">
        <v>381</v>
      </c>
    </row>
    <row r="61" spans="1:22">
      <c r="A61" s="67" t="s">
        <v>19</v>
      </c>
      <c r="B61" s="48">
        <f>B57</f>
        <v>1.3374999999999999</v>
      </c>
      <c r="C61" s="406">
        <f>C57</f>
        <v>0</v>
      </c>
      <c r="D61" s="43">
        <v>0</v>
      </c>
      <c r="E61" s="173"/>
      <c r="F61" s="43">
        <v>165914549.25</v>
      </c>
      <c r="G61" s="53">
        <v>74285.740000000005</v>
      </c>
      <c r="H61" s="53">
        <v>2148141.79</v>
      </c>
      <c r="I61" s="53">
        <v>0</v>
      </c>
      <c r="J61" s="53">
        <v>248260.3</v>
      </c>
      <c r="K61" s="53">
        <v>0</v>
      </c>
      <c r="L61" s="53">
        <f>G61+H61+I61-J61+K61</f>
        <v>1974167.2300000002</v>
      </c>
      <c r="M61" s="53">
        <v>198753.24</v>
      </c>
      <c r="N61" s="53">
        <f>L61-M61</f>
        <v>1775413.9900000002</v>
      </c>
      <c r="O61" s="53">
        <v>0</v>
      </c>
      <c r="P61" s="53">
        <v>293458.7</v>
      </c>
      <c r="Q61" s="53">
        <f>N61-O61-P61</f>
        <v>1481955.2900000003</v>
      </c>
      <c r="T61" s="266"/>
    </row>
    <row r="62" spans="1:22">
      <c r="A62" s="67" t="s">
        <v>20</v>
      </c>
      <c r="B62" s="48">
        <f>B57</f>
        <v>1.3374999999999999</v>
      </c>
      <c r="C62" s="406">
        <f>C57</f>
        <v>0</v>
      </c>
      <c r="D62" s="43"/>
      <c r="E62" s="173"/>
      <c r="F62" s="43">
        <v>1051514.73</v>
      </c>
      <c r="G62" s="53">
        <v>11359.73</v>
      </c>
      <c r="H62" s="53">
        <v>2704.11</v>
      </c>
      <c r="I62" s="53">
        <v>0</v>
      </c>
      <c r="J62" s="53">
        <v>0</v>
      </c>
      <c r="K62" s="53">
        <v>0</v>
      </c>
      <c r="L62" s="53">
        <f>G62+H62+I62-J62+K62</f>
        <v>14063.84</v>
      </c>
      <c r="M62" s="53">
        <v>6.04</v>
      </c>
      <c r="N62" s="53">
        <f>L62-M62</f>
        <v>14057.8</v>
      </c>
      <c r="O62" s="53">
        <v>0</v>
      </c>
      <c r="P62" s="53">
        <v>127.9</v>
      </c>
      <c r="Q62" s="53">
        <f>N62-O62-P62</f>
        <v>13929.9</v>
      </c>
      <c r="T62" s="153">
        <f>SUM(Q58:Q59,Q61:Q62)</f>
        <v>1667109.9203750002</v>
      </c>
    </row>
    <row r="63" spans="1:22">
      <c r="A63" s="47"/>
      <c r="B63" s="48"/>
      <c r="C63" s="402"/>
      <c r="D63" s="43"/>
      <c r="E63" s="173"/>
      <c r="F63" s="4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T63" s="266"/>
    </row>
    <row r="64" spans="1:22" s="50" customFormat="1" ht="13.5" thickBot="1">
      <c r="A64" s="60" t="str">
        <f>"TOTAL "&amp;A37</f>
        <v>TOTAL GENERAL COUNTY</v>
      </c>
      <c r="B64" s="68">
        <f>B57</f>
        <v>1.3374999999999999</v>
      </c>
      <c r="C64" s="441">
        <f>C57</f>
        <v>0</v>
      </c>
      <c r="D64" s="69">
        <f>SUM(D57:D59,D61:D62)</f>
        <v>4681</v>
      </c>
      <c r="E64" s="204"/>
      <c r="F64" s="69">
        <f t="shared" ref="F64:Q64" si="24">SUM(F57,F58:F59,F61:F62)</f>
        <v>425764036.98000002</v>
      </c>
      <c r="G64" s="69">
        <f t="shared" si="24"/>
        <v>317695.00999999995</v>
      </c>
      <c r="H64" s="69">
        <f t="shared" si="24"/>
        <v>5392760.2103749998</v>
      </c>
      <c r="I64" s="69">
        <f t="shared" si="24"/>
        <v>0</v>
      </c>
      <c r="J64" s="69">
        <f t="shared" si="24"/>
        <v>260800.9</v>
      </c>
      <c r="K64" s="69">
        <f t="shared" si="24"/>
        <v>1145.8899999999996</v>
      </c>
      <c r="L64" s="69">
        <f t="shared" si="24"/>
        <v>5450800.2103750007</v>
      </c>
      <c r="M64" s="69">
        <f t="shared" si="24"/>
        <v>376565.2</v>
      </c>
      <c r="N64" s="69">
        <f t="shared" si="24"/>
        <v>5074235.0103750005</v>
      </c>
      <c r="O64" s="69">
        <f t="shared" si="24"/>
        <v>0</v>
      </c>
      <c r="P64" s="69">
        <f t="shared" si="24"/>
        <v>705896.49</v>
      </c>
      <c r="Q64" s="69">
        <f t="shared" si="24"/>
        <v>4368338.5203750012</v>
      </c>
    </row>
    <row r="65" spans="1:19" s="168" customFormat="1">
      <c r="A65" s="165" t="s">
        <v>28</v>
      </c>
      <c r="B65" s="166"/>
      <c r="C65" s="442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</row>
    <row r="66" spans="1:19" s="168" customFormat="1">
      <c r="A66" s="200" t="s">
        <v>29</v>
      </c>
      <c r="B66" s="166"/>
      <c r="C66" s="442"/>
      <c r="D66" s="167"/>
      <c r="E66" s="167"/>
      <c r="F66" s="167">
        <v>17349493</v>
      </c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</row>
    <row r="67" spans="1:19" s="168" customFormat="1">
      <c r="A67" s="200" t="s">
        <v>15</v>
      </c>
      <c r="B67" s="166"/>
      <c r="C67" s="442"/>
      <c r="D67" s="167"/>
      <c r="E67" s="167"/>
      <c r="F67" s="169">
        <v>228613892</v>
      </c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</row>
    <row r="68" spans="1:19" s="168" customFormat="1">
      <c r="A68" s="200"/>
      <c r="B68" s="166"/>
      <c r="C68" s="442"/>
      <c r="D68" s="167"/>
      <c r="E68" s="167"/>
      <c r="F68" s="167">
        <f>F66+F67</f>
        <v>245963385</v>
      </c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</row>
    <row r="69" spans="1:19" s="168" customFormat="1">
      <c r="A69" s="200" t="s">
        <v>30</v>
      </c>
      <c r="B69" s="166"/>
      <c r="C69" s="442"/>
      <c r="D69" s="167"/>
      <c r="E69" s="167"/>
      <c r="F69" s="74">
        <f>F57-F68</f>
        <v>32739</v>
      </c>
      <c r="G69" s="170">
        <f>F69/F68</f>
        <v>1.3310517742305426E-4</v>
      </c>
      <c r="H69" s="167"/>
      <c r="I69" s="167"/>
      <c r="J69" s="167"/>
      <c r="K69" s="167"/>
      <c r="L69" s="167"/>
      <c r="M69" s="167"/>
      <c r="N69" s="167"/>
      <c r="O69" s="167"/>
      <c r="P69" s="167"/>
      <c r="Q69" s="167"/>
    </row>
    <row r="70" spans="1:19" s="174" customFormat="1">
      <c r="A70" s="171"/>
      <c r="B70" s="172"/>
      <c r="C70" s="44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1:19" s="174" customFormat="1">
      <c r="A71" s="75" t="s">
        <v>355</v>
      </c>
      <c r="B71" s="172"/>
      <c r="C71" s="443"/>
      <c r="D71" s="175"/>
      <c r="E71" s="175"/>
      <c r="F71" s="175">
        <v>381706404</v>
      </c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1:19" s="174" customFormat="1">
      <c r="A72" s="76" t="s">
        <v>30</v>
      </c>
      <c r="B72" s="172"/>
      <c r="C72" s="443"/>
      <c r="D72" s="77"/>
      <c r="E72" s="77"/>
      <c r="F72" s="77">
        <f>F64-F71</f>
        <v>44057632.980000019</v>
      </c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1:19">
      <c r="A73" s="47"/>
      <c r="B73" s="48"/>
      <c r="C73" s="402"/>
      <c r="D73" s="43"/>
      <c r="E73" s="173"/>
      <c r="F73" s="4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19">
      <c r="A74" s="54" t="s">
        <v>13</v>
      </c>
      <c r="B74" s="51"/>
      <c r="C74" s="440"/>
      <c r="D74" s="52"/>
      <c r="E74" s="203"/>
      <c r="F74" s="52"/>
      <c r="G74" s="102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9">
      <c r="A75" s="47"/>
      <c r="B75" s="48"/>
      <c r="C75" s="402"/>
      <c r="D75" s="43"/>
      <c r="E75" s="65">
        <v>11236546</v>
      </c>
      <c r="F75" s="4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1:19">
      <c r="A76" s="49" t="s">
        <v>15</v>
      </c>
      <c r="B76" s="48">
        <v>0.75</v>
      </c>
      <c r="C76" s="406">
        <v>0</v>
      </c>
      <c r="D76" s="336">
        <v>4681</v>
      </c>
      <c r="E76" s="173">
        <f>G76/B76*100</f>
        <v>17349481.333333332</v>
      </c>
      <c r="F76" s="43">
        <v>245996124</v>
      </c>
      <c r="G76" s="53">
        <v>130121.11</v>
      </c>
      <c r="H76" s="53">
        <v>1721882.59</v>
      </c>
      <c r="I76" s="53">
        <v>0</v>
      </c>
      <c r="J76" s="53">
        <v>7032.12</v>
      </c>
      <c r="K76" s="53">
        <v>642.54999999999995</v>
      </c>
      <c r="L76" s="53">
        <f t="shared" ref="L76:L81" si="25">G76+H76+I76-J76+K76</f>
        <v>1845614.1300000001</v>
      </c>
      <c r="M76" s="53">
        <v>99704.39</v>
      </c>
      <c r="N76" s="53">
        <f>L76-M76</f>
        <v>1745909.7400000002</v>
      </c>
      <c r="O76" s="53">
        <v>0</v>
      </c>
      <c r="P76" s="53">
        <v>231201.8</v>
      </c>
      <c r="Q76" s="53">
        <f>N76-O76-P76</f>
        <v>1514707.9400000002</v>
      </c>
    </row>
    <row r="77" spans="1:19">
      <c r="A77" s="47" t="s">
        <v>16</v>
      </c>
      <c r="B77" s="48">
        <f>B76</f>
        <v>0.75</v>
      </c>
      <c r="C77" s="406">
        <f>C76</f>
        <v>0</v>
      </c>
      <c r="D77" s="43"/>
      <c r="E77" s="173"/>
      <c r="F77" s="65">
        <f>IF(E75&gt;E76,E75-E76,0)</f>
        <v>0</v>
      </c>
      <c r="G77" s="53">
        <f>F77*(B77-C77)/100</f>
        <v>0</v>
      </c>
      <c r="H77" s="53"/>
      <c r="I77" s="53">
        <f>F77*C77/100</f>
        <v>0</v>
      </c>
      <c r="J77" s="53"/>
      <c r="K77" s="53"/>
      <c r="L77" s="53">
        <f t="shared" si="25"/>
        <v>0</v>
      </c>
      <c r="M77" s="53"/>
      <c r="N77" s="53">
        <f>L77-M77</f>
        <v>0</v>
      </c>
      <c r="O77" s="53"/>
      <c r="P77" s="53"/>
      <c r="Q77" s="53">
        <f>N77-O77-P77</f>
        <v>0</v>
      </c>
    </row>
    <row r="78" spans="1:19">
      <c r="A78" s="47" t="s">
        <v>17</v>
      </c>
      <c r="B78" s="48">
        <f>B76</f>
        <v>0.75</v>
      </c>
      <c r="C78" s="406">
        <f>C76</f>
        <v>0</v>
      </c>
      <c r="D78" s="43"/>
      <c r="E78" s="173"/>
      <c r="F78" s="66">
        <v>12801849</v>
      </c>
      <c r="G78" s="53"/>
      <c r="H78" s="53">
        <f>F78*(B78-C78)/100</f>
        <v>96013.867499999993</v>
      </c>
      <c r="I78" s="53">
        <f>F78*C78/100</f>
        <v>0</v>
      </c>
      <c r="J78" s="53"/>
      <c r="K78" s="53">
        <v>0</v>
      </c>
      <c r="L78" s="53">
        <f t="shared" si="25"/>
        <v>96013.867499999993</v>
      </c>
      <c r="M78" s="53">
        <v>0</v>
      </c>
      <c r="N78" s="53">
        <f>L78-M78</f>
        <v>96013.867499999993</v>
      </c>
      <c r="O78" s="53">
        <v>0</v>
      </c>
      <c r="P78" s="53">
        <v>0</v>
      </c>
      <c r="Q78" s="53">
        <f>N78-O78-P78</f>
        <v>96013.867499999993</v>
      </c>
    </row>
    <row r="79" spans="1:19">
      <c r="A79" s="47" t="s">
        <v>18</v>
      </c>
      <c r="B79" s="48"/>
      <c r="C79" s="406"/>
      <c r="D79" s="43"/>
      <c r="E79" s="173"/>
      <c r="F79" s="4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9">
      <c r="A80" s="67" t="s">
        <v>19</v>
      </c>
      <c r="B80" s="48">
        <f>B76</f>
        <v>0.75</v>
      </c>
      <c r="C80" s="406">
        <f>C76</f>
        <v>0</v>
      </c>
      <c r="D80" s="43"/>
      <c r="E80" s="173"/>
      <c r="F80" s="43">
        <v>147601292.91</v>
      </c>
      <c r="G80" s="53">
        <f>54046.72*S83</f>
        <v>41655.574966601584</v>
      </c>
      <c r="H80" s="53">
        <f>1562883.56*S83</f>
        <v>1204565.4814510329</v>
      </c>
      <c r="I80" s="53">
        <v>0</v>
      </c>
      <c r="J80" s="53">
        <f>180622.1*S83</f>
        <v>139211.36060014387</v>
      </c>
      <c r="K80" s="53">
        <v>0</v>
      </c>
      <c r="L80" s="53">
        <f>G80+H80+I80-J80+K80</f>
        <v>1107009.6958174906</v>
      </c>
      <c r="M80" s="53">
        <f>144603.18*S83</f>
        <v>111450.40078100914</v>
      </c>
      <c r="N80" s="53">
        <f>L80-M80</f>
        <v>995559.29503648146</v>
      </c>
      <c r="O80" s="53">
        <v>0</v>
      </c>
      <c r="P80" s="53">
        <f>213506.3*S83</f>
        <v>164556.28917891276</v>
      </c>
      <c r="Q80" s="53">
        <f>N80-O80-P80</f>
        <v>831003.0058575687</v>
      </c>
      <c r="S80" s="381">
        <f>Q81-G81</f>
        <v>1513.0639194327405</v>
      </c>
    </row>
    <row r="81" spans="1:20">
      <c r="A81" s="67" t="s">
        <v>20</v>
      </c>
      <c r="B81" s="48">
        <f>B76</f>
        <v>0.75</v>
      </c>
      <c r="C81" s="406">
        <f>C76</f>
        <v>0</v>
      </c>
      <c r="D81" s="43"/>
      <c r="E81" s="173"/>
      <c r="F81" s="43">
        <v>1051514.73</v>
      </c>
      <c r="G81" s="53">
        <f>8264.75*S83</f>
        <v>6369.9131641146851</v>
      </c>
      <c r="H81" s="53">
        <f>1967.53*S83</f>
        <v>1516.4397287020861</v>
      </c>
      <c r="I81" s="53">
        <v>0</v>
      </c>
      <c r="J81" s="53">
        <v>0</v>
      </c>
      <c r="K81" s="53">
        <v>0</v>
      </c>
      <c r="L81" s="53">
        <f t="shared" si="25"/>
        <v>7886.3528928167707</v>
      </c>
      <c r="M81" s="53">
        <f>4.38*S83</f>
        <v>3.3758092693453912</v>
      </c>
      <c r="N81" s="53">
        <f>L81-M81</f>
        <v>7882.9770835474255</v>
      </c>
      <c r="O81" s="53">
        <v>0</v>
      </c>
      <c r="P81" s="564">
        <f>93.05*S83</f>
        <v>71.716678655842159</v>
      </c>
      <c r="Q81" s="53">
        <f>N81-O81-P82</f>
        <v>7882.9770835474255</v>
      </c>
      <c r="S81" s="381">
        <f>G81</f>
        <v>6369.9131641146851</v>
      </c>
    </row>
    <row r="82" spans="1:20">
      <c r="A82" s="47"/>
      <c r="B82" s="48"/>
      <c r="C82" s="402"/>
      <c r="D82" s="43"/>
      <c r="E82" s="173"/>
      <c r="F82" s="4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1:20" s="50" customFormat="1">
      <c r="A83" s="333" t="s">
        <v>31</v>
      </c>
      <c r="B83" s="334">
        <f>B76</f>
        <v>0.75</v>
      </c>
      <c r="C83" s="444">
        <f>C76</f>
        <v>0</v>
      </c>
      <c r="D83" s="78">
        <f t="shared" ref="D83:Q83" si="26">SUM(D76:D78,D80:D81)</f>
        <v>4681</v>
      </c>
      <c r="E83" s="206"/>
      <c r="F83" s="78">
        <f t="shared" si="26"/>
        <v>407450780.63999999</v>
      </c>
      <c r="G83" s="79">
        <f t="shared" si="26"/>
        <v>178146.59813071627</v>
      </c>
      <c r="H83" s="79">
        <f t="shared" si="26"/>
        <v>3023978.3786797351</v>
      </c>
      <c r="I83" s="79">
        <f t="shared" si="26"/>
        <v>0</v>
      </c>
      <c r="J83" s="79">
        <f t="shared" si="26"/>
        <v>146243.48060014387</v>
      </c>
      <c r="K83" s="79">
        <f t="shared" si="26"/>
        <v>642.54999999999995</v>
      </c>
      <c r="L83" s="79">
        <f t="shared" si="26"/>
        <v>3056524.0462103076</v>
      </c>
      <c r="M83" s="79">
        <f t="shared" si="26"/>
        <v>211158.16659027847</v>
      </c>
      <c r="N83" s="79">
        <f t="shared" si="26"/>
        <v>2845365.8796200291</v>
      </c>
      <c r="O83" s="79">
        <f t="shared" si="26"/>
        <v>0</v>
      </c>
      <c r="P83" s="79">
        <f>SUM(P76:P78,P80:P82)</f>
        <v>395829.80585756857</v>
      </c>
      <c r="Q83" s="79">
        <f t="shared" si="26"/>
        <v>2449607.7904411163</v>
      </c>
      <c r="S83" s="183">
        <f>B83/B97</f>
        <v>0.77073270989620801</v>
      </c>
    </row>
    <row r="84" spans="1:20">
      <c r="A84" s="47"/>
      <c r="B84" s="48"/>
      <c r="C84" s="402"/>
      <c r="D84" s="43"/>
      <c r="E84" s="173"/>
      <c r="F84" s="43"/>
      <c r="G84" s="53"/>
      <c r="H84" s="53"/>
      <c r="I84" s="53"/>
      <c r="J84" s="53"/>
      <c r="K84" s="53"/>
      <c r="L84" s="505" t="s">
        <v>388</v>
      </c>
      <c r="M84" s="506">
        <f>M83/L83</f>
        <v>6.9084412030746875E-2</v>
      </c>
      <c r="N84" s="53"/>
      <c r="O84" s="53"/>
      <c r="P84" s="53"/>
      <c r="Q84" s="53"/>
    </row>
    <row r="85" spans="1:20">
      <c r="A85" s="47"/>
      <c r="B85" s="48"/>
      <c r="C85" s="402"/>
      <c r="D85" s="43"/>
      <c r="E85" s="173"/>
      <c r="F85" s="43"/>
      <c r="G85" s="81">
        <f>G80+G92</f>
        <v>54046.720000000001</v>
      </c>
      <c r="H85" s="81">
        <f t="shared" ref="H85:Q86" si="27">H80+H92</f>
        <v>1562883.56</v>
      </c>
      <c r="I85" s="81">
        <f t="shared" si="27"/>
        <v>0</v>
      </c>
      <c r="J85" s="81">
        <f t="shared" si="27"/>
        <v>180622.1</v>
      </c>
      <c r="K85" s="81">
        <f t="shared" si="27"/>
        <v>0</v>
      </c>
      <c r="L85" s="81">
        <f t="shared" si="27"/>
        <v>1436308.1800000002</v>
      </c>
      <c r="M85" s="81">
        <f t="shared" si="27"/>
        <v>144603.18</v>
      </c>
      <c r="N85" s="81">
        <f t="shared" si="27"/>
        <v>1291705</v>
      </c>
      <c r="O85" s="81">
        <f t="shared" si="27"/>
        <v>0</v>
      </c>
      <c r="P85" s="81">
        <f t="shared" si="27"/>
        <v>213506.30000000002</v>
      </c>
      <c r="Q85" s="81">
        <f t="shared" si="27"/>
        <v>1078198.7000000002</v>
      </c>
    </row>
    <row r="86" spans="1:20">
      <c r="A86" s="54" t="s">
        <v>32</v>
      </c>
      <c r="B86" s="48"/>
      <c r="C86" s="402"/>
      <c r="D86" s="43"/>
      <c r="E86" s="173"/>
      <c r="F86" s="43"/>
      <c r="G86" s="81">
        <f>G81+G93</f>
        <v>8264.75</v>
      </c>
      <c r="H86" s="81">
        <f t="shared" si="27"/>
        <v>1967.53</v>
      </c>
      <c r="I86" s="81">
        <f t="shared" si="27"/>
        <v>0</v>
      </c>
      <c r="J86" s="81">
        <f t="shared" si="27"/>
        <v>0</v>
      </c>
      <c r="K86" s="81">
        <f t="shared" si="27"/>
        <v>0</v>
      </c>
      <c r="L86" s="81">
        <f t="shared" si="27"/>
        <v>10232.279999999999</v>
      </c>
      <c r="M86" s="81">
        <f t="shared" si="27"/>
        <v>4.38</v>
      </c>
      <c r="N86" s="81">
        <f t="shared" si="27"/>
        <v>10227.9</v>
      </c>
      <c r="O86" s="81">
        <f t="shared" si="27"/>
        <v>0</v>
      </c>
      <c r="P86" s="81">
        <f>P81+P93</f>
        <v>93.050000000000011</v>
      </c>
      <c r="Q86" s="81">
        <f t="shared" si="27"/>
        <v>10206.566678655843</v>
      </c>
    </row>
    <row r="87" spans="1:20">
      <c r="A87" s="47"/>
      <c r="B87" s="48"/>
      <c r="C87" s="402"/>
      <c r="D87" s="43"/>
      <c r="E87" s="65">
        <v>11236546</v>
      </c>
      <c r="F87" s="43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20">
      <c r="A88" s="49" t="s">
        <v>15</v>
      </c>
      <c r="B88" s="48">
        <v>0.22309999999999999</v>
      </c>
      <c r="C88" s="406">
        <v>0</v>
      </c>
      <c r="D88" s="336">
        <v>4681</v>
      </c>
      <c r="E88" s="173">
        <f>G88/B88*100</f>
        <v>17349511.429852087</v>
      </c>
      <c r="F88" s="43">
        <v>245996124</v>
      </c>
      <c r="G88" s="53">
        <v>38706.76</v>
      </c>
      <c r="H88" s="53">
        <v>512202.35</v>
      </c>
      <c r="I88" s="53">
        <v>0</v>
      </c>
      <c r="J88" s="53">
        <v>2091.8200000000002</v>
      </c>
      <c r="K88" s="53">
        <v>191.14</v>
      </c>
      <c r="L88" s="53">
        <f>G88+H88+I88-J88+K88</f>
        <v>549008.43000000005</v>
      </c>
      <c r="M88" s="53">
        <v>29658.68</v>
      </c>
      <c r="N88" s="53">
        <f>L88-M88</f>
        <v>519349.75000000006</v>
      </c>
      <c r="O88" s="53">
        <v>0</v>
      </c>
      <c r="P88" s="53">
        <v>68774.83</v>
      </c>
      <c r="Q88" s="53">
        <f>N88-O88-P88</f>
        <v>450574.92000000004</v>
      </c>
    </row>
    <row r="89" spans="1:20">
      <c r="A89" s="47" t="s">
        <v>16</v>
      </c>
      <c r="B89" s="48">
        <f>B88</f>
        <v>0.22309999999999999</v>
      </c>
      <c r="C89" s="406">
        <f>C88</f>
        <v>0</v>
      </c>
      <c r="D89" s="43"/>
      <c r="E89" s="173"/>
      <c r="F89" s="65">
        <f>IF(E87&gt;E88,E87-E88,0)</f>
        <v>0</v>
      </c>
      <c r="G89" s="53">
        <f>F89*(B89-C89)/100</f>
        <v>0</v>
      </c>
      <c r="H89" s="53"/>
      <c r="I89" s="53">
        <f>F89*C89/100</f>
        <v>0</v>
      </c>
      <c r="J89" s="53"/>
      <c r="K89" s="53"/>
      <c r="L89" s="53">
        <f>G89+H89+I89-J89+K89</f>
        <v>0</v>
      </c>
      <c r="M89" s="53"/>
      <c r="N89" s="53">
        <f>L89-M89</f>
        <v>0</v>
      </c>
      <c r="O89" s="53"/>
      <c r="P89" s="53"/>
      <c r="Q89" s="53">
        <f>N89-O89-P89</f>
        <v>0</v>
      </c>
    </row>
    <row r="90" spans="1:20">
      <c r="A90" s="47" t="s">
        <v>17</v>
      </c>
      <c r="B90" s="48">
        <f>B88</f>
        <v>0.22309999999999999</v>
      </c>
      <c r="C90" s="406">
        <f>C88</f>
        <v>0</v>
      </c>
      <c r="D90" s="43"/>
      <c r="E90" s="173"/>
      <c r="F90" s="66">
        <v>12801849</v>
      </c>
      <c r="G90" s="53"/>
      <c r="H90" s="53">
        <f>F90*(B90-C90)/100</f>
        <v>28560.925119</v>
      </c>
      <c r="I90" s="53">
        <f>F90*C90/100</f>
        <v>0</v>
      </c>
      <c r="J90" s="53">
        <v>0</v>
      </c>
      <c r="K90" s="53">
        <v>0</v>
      </c>
      <c r="L90" s="53">
        <f>G90+H90+I90-J90+K90</f>
        <v>28560.925119</v>
      </c>
      <c r="M90" s="53">
        <v>0</v>
      </c>
      <c r="N90" s="53">
        <f>L90-M90</f>
        <v>28560.925119</v>
      </c>
      <c r="O90" s="53">
        <v>0</v>
      </c>
      <c r="P90" s="53">
        <v>0</v>
      </c>
      <c r="Q90" s="53">
        <f>N90-O90-P90</f>
        <v>28560.925119</v>
      </c>
    </row>
    <row r="91" spans="1:20">
      <c r="A91" s="47" t="s">
        <v>18</v>
      </c>
      <c r="B91" s="48"/>
      <c r="C91" s="406"/>
      <c r="D91" s="43"/>
      <c r="E91" s="173"/>
      <c r="F91" s="4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1:20">
      <c r="A92" s="67" t="s">
        <v>19</v>
      </c>
      <c r="B92" s="48">
        <f>B88</f>
        <v>0.22309999999999999</v>
      </c>
      <c r="C92" s="406">
        <f>C88</f>
        <v>0</v>
      </c>
      <c r="D92" s="43"/>
      <c r="E92" s="173"/>
      <c r="F92" s="43">
        <v>147601292.91</v>
      </c>
      <c r="G92" s="53">
        <f>54046.72*S95</f>
        <v>12391.145033398418</v>
      </c>
      <c r="H92" s="53">
        <f>1562883.56*S95</f>
        <v>358318.07854896726</v>
      </c>
      <c r="I92" s="53">
        <v>0</v>
      </c>
      <c r="J92" s="53">
        <f>180622.1*S95</f>
        <v>41410.739399856131</v>
      </c>
      <c r="K92" s="53">
        <v>0</v>
      </c>
      <c r="L92" s="53">
        <f>G92+H92+I92-J92+K92</f>
        <v>329298.48418250954</v>
      </c>
      <c r="M92" s="53">
        <f>144603.18*S95</f>
        <v>33152.77921899085</v>
      </c>
      <c r="N92" s="53">
        <f>L92-M92</f>
        <v>296145.70496351866</v>
      </c>
      <c r="O92" s="53">
        <v>0</v>
      </c>
      <c r="P92" s="53">
        <f>213506.3*S95</f>
        <v>48950.010821087249</v>
      </c>
      <c r="Q92" s="53">
        <f>N92-O92-P92</f>
        <v>247195.6941424314</v>
      </c>
      <c r="S92" s="381">
        <f>+Q92+Q80</f>
        <v>1078198.7000000002</v>
      </c>
    </row>
    <row r="93" spans="1:20">
      <c r="A93" s="67" t="s">
        <v>20</v>
      </c>
      <c r="B93" s="48">
        <f>B88</f>
        <v>0.22309999999999999</v>
      </c>
      <c r="C93" s="406">
        <f>C88</f>
        <v>0</v>
      </c>
      <c r="D93" s="43"/>
      <c r="E93" s="173"/>
      <c r="F93" s="43">
        <v>1051514.73</v>
      </c>
      <c r="G93" s="53">
        <f>8264.75*S95</f>
        <v>1894.8368358853152</v>
      </c>
      <c r="H93" s="53">
        <f>1967.53*S95</f>
        <v>451.09027129791389</v>
      </c>
      <c r="I93" s="53">
        <v>0</v>
      </c>
      <c r="J93" s="53">
        <v>0</v>
      </c>
      <c r="K93" s="53">
        <v>0</v>
      </c>
      <c r="L93" s="53">
        <f t="shared" ref="L93" si="28">G93+H93+I93-J93+K93</f>
        <v>2345.9271071832291</v>
      </c>
      <c r="M93" s="53">
        <f>4.38*S95</f>
        <v>1.004190730654609</v>
      </c>
      <c r="N93" s="53">
        <f>L93-M93</f>
        <v>2344.9229164525746</v>
      </c>
      <c r="O93" s="53">
        <v>0</v>
      </c>
      <c r="P93" s="53">
        <f>93.05*S95</f>
        <v>21.333321344157845</v>
      </c>
      <c r="Q93" s="53">
        <f>N93-O93-P93</f>
        <v>2323.5895951084167</v>
      </c>
      <c r="S93" s="53"/>
      <c r="T93" s="53"/>
    </row>
    <row r="94" spans="1:20">
      <c r="A94" s="47"/>
      <c r="B94" s="48"/>
      <c r="C94" s="402"/>
      <c r="D94" s="43"/>
      <c r="E94" s="173"/>
      <c r="F94" s="4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1:20" s="50" customFormat="1">
      <c r="A95" s="57" t="str">
        <f>"TOTAL "&amp;A86</f>
        <v>TOTAL SCHOOL DEBT</v>
      </c>
      <c r="B95" s="51">
        <f>B88</f>
        <v>0.22309999999999999</v>
      </c>
      <c r="C95" s="438">
        <f>C88</f>
        <v>0</v>
      </c>
      <c r="D95" s="78">
        <f t="shared" ref="D95:Q95" si="29">SUM(D88:D90,D92:D93)</f>
        <v>4681</v>
      </c>
      <c r="E95" s="206"/>
      <c r="F95" s="78">
        <f t="shared" si="29"/>
        <v>407450780.63999999</v>
      </c>
      <c r="G95" s="79">
        <f t="shared" si="29"/>
        <v>52992.741869283738</v>
      </c>
      <c r="H95" s="79">
        <f t="shared" si="29"/>
        <v>899532.44393926521</v>
      </c>
      <c r="I95" s="79">
        <f t="shared" si="29"/>
        <v>0</v>
      </c>
      <c r="J95" s="79">
        <f t="shared" si="29"/>
        <v>43502.559399856131</v>
      </c>
      <c r="K95" s="79">
        <f t="shared" si="29"/>
        <v>191.14</v>
      </c>
      <c r="L95" s="79">
        <f t="shared" si="29"/>
        <v>909213.76640869281</v>
      </c>
      <c r="M95" s="79">
        <f t="shared" si="29"/>
        <v>62812.463409721502</v>
      </c>
      <c r="N95" s="79">
        <f t="shared" si="29"/>
        <v>846401.30299897119</v>
      </c>
      <c r="O95" s="79">
        <f t="shared" si="29"/>
        <v>0</v>
      </c>
      <c r="P95" s="79">
        <f t="shared" si="29"/>
        <v>117746.1741424314</v>
      </c>
      <c r="Q95" s="79">
        <f t="shared" si="29"/>
        <v>728655.12885653984</v>
      </c>
      <c r="S95" s="183">
        <f>B95/B97</f>
        <v>0.22926729010379202</v>
      </c>
    </row>
    <row r="96" spans="1:20">
      <c r="A96" s="47"/>
      <c r="B96" s="48"/>
      <c r="C96" s="402"/>
      <c r="D96" s="43"/>
      <c r="E96" s="173"/>
      <c r="F96" s="4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1:17" s="50" customFormat="1" ht="13.5" thickBot="1">
      <c r="A97" s="60" t="str">
        <f>"TOTAL "&amp;A74</f>
        <v>TOTAL SCHOOL DISTRICT</v>
      </c>
      <c r="B97" s="68">
        <f>B83+B95</f>
        <v>0.97309999999999997</v>
      </c>
      <c r="C97" s="441">
        <f>C83+C95</f>
        <v>0</v>
      </c>
      <c r="D97" s="69">
        <f>D83</f>
        <v>4681</v>
      </c>
      <c r="E97" s="204"/>
      <c r="F97" s="69">
        <f>F83</f>
        <v>407450780.63999999</v>
      </c>
      <c r="G97" s="70">
        <f t="shared" ref="G97:Q97" si="30">G83+G95</f>
        <v>231139.34000000003</v>
      </c>
      <c r="H97" s="70">
        <f t="shared" si="30"/>
        <v>3923510.8226190004</v>
      </c>
      <c r="I97" s="70">
        <f t="shared" si="30"/>
        <v>0</v>
      </c>
      <c r="J97" s="70">
        <f t="shared" si="30"/>
        <v>189746.04</v>
      </c>
      <c r="K97" s="70">
        <f t="shared" si="30"/>
        <v>833.68999999999994</v>
      </c>
      <c r="L97" s="70">
        <f t="shared" si="30"/>
        <v>3965737.8126190007</v>
      </c>
      <c r="M97" s="70">
        <f t="shared" si="30"/>
        <v>273970.63</v>
      </c>
      <c r="N97" s="70">
        <f t="shared" si="30"/>
        <v>3691767.1826190003</v>
      </c>
      <c r="O97" s="70">
        <f t="shared" si="30"/>
        <v>0</v>
      </c>
      <c r="P97" s="70">
        <f t="shared" si="30"/>
        <v>513575.98</v>
      </c>
      <c r="Q97" s="70">
        <f t="shared" si="30"/>
        <v>3178262.919297656</v>
      </c>
    </row>
    <row r="98" spans="1:17">
      <c r="A98" s="150" t="s">
        <v>355</v>
      </c>
      <c r="B98" s="48"/>
      <c r="C98" s="402"/>
      <c r="D98" s="43"/>
      <c r="E98" s="173"/>
      <c r="F98" s="64">
        <v>381706404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1:17">
      <c r="A99" s="151" t="s">
        <v>30</v>
      </c>
      <c r="B99" s="51"/>
      <c r="C99" s="440"/>
      <c r="D99" s="52"/>
      <c r="E99" s="203"/>
      <c r="F99" s="152">
        <f>F97-F98</f>
        <v>25744376.639999986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1:17">
      <c r="A100" s="54" t="s">
        <v>157</v>
      </c>
      <c r="B100" s="48"/>
      <c r="C100" s="402"/>
      <c r="D100" s="43"/>
      <c r="E100" s="173"/>
      <c r="F100" s="43"/>
      <c r="G100" s="102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>
      <c r="A101" s="50"/>
      <c r="B101" s="51"/>
      <c r="C101" s="440"/>
      <c r="D101" s="52"/>
      <c r="E101" s="65">
        <v>826634</v>
      </c>
      <c r="F101" s="52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</row>
    <row r="102" spans="1:17">
      <c r="A102" s="49" t="s">
        <v>15</v>
      </c>
      <c r="B102" s="48">
        <v>0.91149999999999998</v>
      </c>
      <c r="C102" s="406">
        <v>0</v>
      </c>
      <c r="D102" s="43">
        <v>568</v>
      </c>
      <c r="E102" s="173">
        <f>G102/B102*100</f>
        <v>71651.124520021956</v>
      </c>
      <c r="F102" s="43">
        <v>19378371</v>
      </c>
      <c r="G102" s="53">
        <v>653.1</v>
      </c>
      <c r="H102" s="53">
        <v>179479.43</v>
      </c>
      <c r="I102" s="53">
        <v>0</v>
      </c>
      <c r="J102" s="53">
        <v>3498.85</v>
      </c>
      <c r="K102" s="53">
        <v>311.52999999999997</v>
      </c>
      <c r="L102" s="53">
        <f>G102+H102+I102-J102+K102</f>
        <v>176945.21</v>
      </c>
      <c r="M102" s="53">
        <v>14381.82</v>
      </c>
      <c r="N102" s="53">
        <f>L102-M102</f>
        <v>162563.38999999998</v>
      </c>
      <c r="O102" s="53">
        <v>0</v>
      </c>
      <c r="P102" s="53">
        <v>0</v>
      </c>
      <c r="Q102" s="53">
        <f>N102-O102-P102</f>
        <v>162563.38999999998</v>
      </c>
    </row>
    <row r="103" spans="1:17">
      <c r="A103" s="47" t="s">
        <v>16</v>
      </c>
      <c r="B103" s="48">
        <f>B102</f>
        <v>0.91149999999999998</v>
      </c>
      <c r="C103" s="402">
        <f>C102</f>
        <v>0</v>
      </c>
      <c r="D103" s="43"/>
      <c r="E103" s="173"/>
      <c r="F103" s="65">
        <f>IF(E101&gt;E102,E101-E102,0)</f>
        <v>754982.87547997804</v>
      </c>
      <c r="G103" s="53">
        <f>F103*(B103-C103)/100</f>
        <v>6881.6689099999994</v>
      </c>
      <c r="H103" s="53"/>
      <c r="I103" s="53">
        <f>F103*C103/100</f>
        <v>0</v>
      </c>
      <c r="J103" s="53"/>
      <c r="K103" s="53"/>
      <c r="L103" s="53">
        <f>G103+H103+I103-J103+K103</f>
        <v>6881.6689099999994</v>
      </c>
      <c r="M103" s="53"/>
      <c r="N103" s="53">
        <f>L103-M103</f>
        <v>6881.6689099999994</v>
      </c>
      <c r="O103" s="53"/>
      <c r="P103" s="53"/>
      <c r="Q103" s="53">
        <f>N103-O103-P103</f>
        <v>6881.6689099999994</v>
      </c>
    </row>
    <row r="104" spans="1:17">
      <c r="A104" s="47" t="s">
        <v>17</v>
      </c>
      <c r="B104" s="48">
        <f>B102</f>
        <v>0.91149999999999998</v>
      </c>
      <c r="C104" s="402">
        <f>C102</f>
        <v>0</v>
      </c>
      <c r="D104" s="43"/>
      <c r="E104" s="173"/>
      <c r="F104" s="66">
        <v>799900</v>
      </c>
      <c r="G104" s="53"/>
      <c r="H104" s="53">
        <f>F104*(B104-C104)/100</f>
        <v>7291.0884999999998</v>
      </c>
      <c r="I104" s="53">
        <f>F104*C104/100</f>
        <v>0</v>
      </c>
      <c r="J104" s="53">
        <v>0</v>
      </c>
      <c r="K104" s="53">
        <v>0</v>
      </c>
      <c r="L104" s="53">
        <f>G104+H104+I104-J104+K104</f>
        <v>7291.0884999999998</v>
      </c>
      <c r="M104" s="53">
        <v>0</v>
      </c>
      <c r="N104" s="53">
        <f>L104-M104</f>
        <v>7291.0884999999998</v>
      </c>
      <c r="O104" s="53">
        <v>0</v>
      </c>
      <c r="P104" s="53">
        <v>0</v>
      </c>
      <c r="Q104" s="53">
        <f>N104-O104-P104</f>
        <v>7291.0884999999998</v>
      </c>
    </row>
    <row r="105" spans="1:17">
      <c r="A105" s="47" t="s">
        <v>18</v>
      </c>
      <c r="B105" s="48"/>
      <c r="C105" s="402"/>
      <c r="D105" s="43"/>
      <c r="E105" s="173"/>
      <c r="F105" s="4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</row>
    <row r="106" spans="1:17">
      <c r="A106" s="67" t="s">
        <v>19</v>
      </c>
      <c r="B106" s="48">
        <f>B102</f>
        <v>0.91149999999999998</v>
      </c>
      <c r="C106" s="402">
        <f>C102</f>
        <v>0</v>
      </c>
      <c r="D106" s="43"/>
      <c r="E106" s="173"/>
      <c r="F106" s="43">
        <v>2494718.0299999998</v>
      </c>
      <c r="G106" s="53">
        <v>667</v>
      </c>
      <c r="H106" s="53">
        <v>22073.25</v>
      </c>
      <c r="I106" s="53">
        <v>0</v>
      </c>
      <c r="J106" s="53">
        <v>97.63</v>
      </c>
      <c r="K106" s="53">
        <v>0</v>
      </c>
      <c r="L106" s="53">
        <f>G106+H106+I106-J106+K106</f>
        <v>22642.62</v>
      </c>
      <c r="M106" s="53">
        <v>115.16</v>
      </c>
      <c r="N106" s="53">
        <f>L106-M106</f>
        <v>22527.46</v>
      </c>
      <c r="O106" s="53">
        <v>0</v>
      </c>
      <c r="P106" s="53">
        <v>0</v>
      </c>
      <c r="Q106" s="53">
        <f>N106-O106-P106</f>
        <v>22527.46</v>
      </c>
    </row>
    <row r="107" spans="1:17">
      <c r="A107" s="67" t="s">
        <v>20</v>
      </c>
      <c r="B107" s="48">
        <f>B102</f>
        <v>0.91149999999999998</v>
      </c>
      <c r="C107" s="402">
        <f>C102</f>
        <v>0</v>
      </c>
      <c r="D107" s="43"/>
      <c r="E107" s="173"/>
      <c r="F107" s="43">
        <v>28636.02</v>
      </c>
      <c r="G107" s="53">
        <v>175.44</v>
      </c>
      <c r="H107" s="53">
        <v>85.51</v>
      </c>
      <c r="I107" s="53">
        <v>0</v>
      </c>
      <c r="J107" s="53">
        <v>0</v>
      </c>
      <c r="K107" s="53">
        <v>0</v>
      </c>
      <c r="L107" s="53">
        <f>G107+H107+I107-J107+K107</f>
        <v>260.95</v>
      </c>
      <c r="M107" s="53">
        <v>0.19</v>
      </c>
      <c r="N107" s="53">
        <f>L107-M107</f>
        <v>260.76</v>
      </c>
      <c r="O107" s="53">
        <v>0</v>
      </c>
      <c r="P107" s="53">
        <v>0</v>
      </c>
      <c r="Q107" s="53">
        <f>N107-O107-P107</f>
        <v>260.76</v>
      </c>
    </row>
    <row r="108" spans="1:17">
      <c r="A108" s="47"/>
      <c r="B108" s="48"/>
      <c r="C108" s="402"/>
      <c r="D108" s="43"/>
      <c r="E108" s="173"/>
      <c r="F108" s="4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1:17" s="50" customFormat="1" ht="13.5" thickBot="1">
      <c r="A109" s="60" t="str">
        <f>"TOTAL "&amp;A100</f>
        <v>TOTAL CITY OF CALIENTE</v>
      </c>
      <c r="B109" s="68">
        <f>B102</f>
        <v>0.91149999999999998</v>
      </c>
      <c r="C109" s="441">
        <f>C102</f>
        <v>0</v>
      </c>
      <c r="D109" s="69">
        <f t="shared" ref="D109:Q109" si="31">SUM(D102:D104,D106:D107)</f>
        <v>568</v>
      </c>
      <c r="E109" s="204"/>
      <c r="F109" s="69">
        <f t="shared" si="31"/>
        <v>23456607.925479978</v>
      </c>
      <c r="G109" s="70">
        <f t="shared" si="31"/>
        <v>8377.2089099999994</v>
      </c>
      <c r="H109" s="70">
        <f t="shared" si="31"/>
        <v>208929.27850000001</v>
      </c>
      <c r="I109" s="70">
        <f t="shared" si="31"/>
        <v>0</v>
      </c>
      <c r="J109" s="70">
        <f t="shared" si="31"/>
        <v>3596.48</v>
      </c>
      <c r="K109" s="70">
        <f t="shared" si="31"/>
        <v>311.52999999999997</v>
      </c>
      <c r="L109" s="70">
        <f t="shared" si="31"/>
        <v>214021.53741000002</v>
      </c>
      <c r="M109" s="70">
        <f t="shared" si="31"/>
        <v>14497.17</v>
      </c>
      <c r="N109" s="70">
        <f t="shared" si="31"/>
        <v>199524.36741000001</v>
      </c>
      <c r="O109" s="70">
        <f t="shared" si="31"/>
        <v>0</v>
      </c>
      <c r="P109" s="70">
        <f t="shared" si="31"/>
        <v>0</v>
      </c>
      <c r="Q109" s="70">
        <f t="shared" si="31"/>
        <v>199524.36741000001</v>
      </c>
    </row>
    <row r="110" spans="1:17">
      <c r="A110" s="150" t="s">
        <v>355</v>
      </c>
      <c r="B110" s="48"/>
      <c r="C110" s="402"/>
      <c r="D110" s="43"/>
      <c r="E110" s="173"/>
      <c r="F110" s="64">
        <v>23445995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1:17">
      <c r="A111" s="151" t="s">
        <v>30</v>
      </c>
      <c r="B111" s="51"/>
      <c r="C111" s="440"/>
      <c r="D111" s="52"/>
      <c r="E111" s="203"/>
      <c r="F111" s="152">
        <f>F109-F110</f>
        <v>10612.925479978323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17">
      <c r="A112" s="54" t="s">
        <v>158</v>
      </c>
      <c r="B112" s="51"/>
      <c r="C112" s="437"/>
      <c r="D112" s="52"/>
      <c r="E112" s="203"/>
      <c r="F112" s="52"/>
      <c r="G112" s="102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>
      <c r="A113" s="47"/>
      <c r="B113" s="48"/>
      <c r="C113" s="402"/>
      <c r="D113" s="43"/>
      <c r="E113" s="65">
        <v>658748</v>
      </c>
      <c r="F113" s="4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>
      <c r="A114" s="49" t="s">
        <v>15</v>
      </c>
      <c r="B114" s="48">
        <v>0.64810000000000001</v>
      </c>
      <c r="C114" s="406">
        <v>0</v>
      </c>
      <c r="D114" s="43">
        <v>404</v>
      </c>
      <c r="E114" s="173">
        <f>G114/B114*100</f>
        <v>8543.4346551458111</v>
      </c>
      <c r="F114" s="43">
        <v>13165691</v>
      </c>
      <c r="G114" s="53">
        <v>55.37</v>
      </c>
      <c r="H114" s="53">
        <v>85295.13</v>
      </c>
      <c r="I114" s="53">
        <v>0</v>
      </c>
      <c r="J114" s="53">
        <v>23.59</v>
      </c>
      <c r="K114" s="53">
        <v>10.84</v>
      </c>
      <c r="L114" s="53">
        <f>G114+H114+I114-J114+K114</f>
        <v>85337.75</v>
      </c>
      <c r="M114" s="53">
        <v>3737.01</v>
      </c>
      <c r="N114" s="53">
        <f>L114-M114</f>
        <v>81600.740000000005</v>
      </c>
      <c r="O114" s="53">
        <v>0</v>
      </c>
      <c r="P114" s="53">
        <v>0</v>
      </c>
      <c r="Q114" s="53">
        <f>N114-O114-P114</f>
        <v>81600.740000000005</v>
      </c>
    </row>
    <row r="115" spans="1:17">
      <c r="A115" s="47" t="s">
        <v>16</v>
      </c>
      <c r="B115" s="48">
        <f>B114</f>
        <v>0.64810000000000001</v>
      </c>
      <c r="C115" s="402">
        <f>C114</f>
        <v>0</v>
      </c>
      <c r="D115" s="43"/>
      <c r="E115" s="173"/>
      <c r="F115" s="65">
        <f>IF(E113&gt;E114,E113-E114,0)</f>
        <v>650204.56534485414</v>
      </c>
      <c r="G115" s="53">
        <f>F115*(B115-C115)/100</f>
        <v>4213.9757879999997</v>
      </c>
      <c r="H115" s="53"/>
      <c r="I115" s="53">
        <f>F115*C115/100</f>
        <v>0</v>
      </c>
      <c r="J115" s="53"/>
      <c r="K115" s="53"/>
      <c r="L115" s="53">
        <f>G115+H115+I115-J115+K115</f>
        <v>4213.9757879999997</v>
      </c>
      <c r="M115" s="53"/>
      <c r="N115" s="53">
        <f>L115-M115</f>
        <v>4213.9757879999997</v>
      </c>
      <c r="O115" s="53"/>
      <c r="P115" s="53"/>
      <c r="Q115" s="53">
        <f>N115-O115-P115</f>
        <v>4213.9757879999997</v>
      </c>
    </row>
    <row r="116" spans="1:17">
      <c r="A116" s="47" t="s">
        <v>17</v>
      </c>
      <c r="B116" s="48">
        <f>B114</f>
        <v>0.64810000000000001</v>
      </c>
      <c r="C116" s="402">
        <f>C114</f>
        <v>0</v>
      </c>
      <c r="D116" s="43"/>
      <c r="E116" s="173"/>
      <c r="F116" s="66">
        <v>496970</v>
      </c>
      <c r="G116" s="53"/>
      <c r="H116" s="53">
        <f>F116*(B116-C116)/100</f>
        <v>3220.8625699999998</v>
      </c>
      <c r="I116" s="53">
        <f>F116*C116/100</f>
        <v>0</v>
      </c>
      <c r="J116" s="53">
        <v>0</v>
      </c>
      <c r="K116" s="53">
        <v>0</v>
      </c>
      <c r="L116" s="53">
        <f>G116+H116+I116-J116+K116</f>
        <v>3220.8625699999998</v>
      </c>
      <c r="M116" s="53">
        <v>0</v>
      </c>
      <c r="N116" s="53">
        <f>L116-M116</f>
        <v>3220.8625699999998</v>
      </c>
      <c r="O116" s="53">
        <v>0</v>
      </c>
      <c r="P116" s="53">
        <v>0</v>
      </c>
      <c r="Q116" s="53">
        <f>N116-O116-P116</f>
        <v>3220.8625699999998</v>
      </c>
    </row>
    <row r="117" spans="1:17">
      <c r="A117" s="47" t="s">
        <v>18</v>
      </c>
      <c r="B117" s="48"/>
      <c r="C117" s="402"/>
      <c r="D117" s="43"/>
      <c r="E117" s="173"/>
      <c r="F117" s="4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8" spans="1:17">
      <c r="A118" s="67" t="s">
        <v>19</v>
      </c>
      <c r="B118" s="48">
        <f>B114</f>
        <v>0.64810000000000001</v>
      </c>
      <c r="C118" s="402">
        <f>C114</f>
        <v>0</v>
      </c>
      <c r="D118" s="43"/>
      <c r="E118" s="173"/>
      <c r="F118" s="43">
        <v>301081.11</v>
      </c>
      <c r="G118" s="53">
        <v>380.97</v>
      </c>
      <c r="H118" s="53">
        <v>1570.7</v>
      </c>
      <c r="I118" s="53">
        <v>0</v>
      </c>
      <c r="J118" s="53">
        <v>55.76</v>
      </c>
      <c r="K118" s="53">
        <v>0</v>
      </c>
      <c r="L118" s="53">
        <f>G118+H118+I118-J118+K118</f>
        <v>1895.91</v>
      </c>
      <c r="M118" s="53">
        <v>65.78</v>
      </c>
      <c r="N118" s="53">
        <f>L118-M118</f>
        <v>1830.13</v>
      </c>
      <c r="O118" s="53">
        <v>0</v>
      </c>
      <c r="P118" s="53">
        <v>0</v>
      </c>
      <c r="Q118" s="53">
        <f>N118-O118-P118</f>
        <v>1830.13</v>
      </c>
    </row>
    <row r="119" spans="1:17">
      <c r="A119" s="67" t="s">
        <v>20</v>
      </c>
      <c r="B119" s="48">
        <f>B114</f>
        <v>0.64810000000000001</v>
      </c>
      <c r="C119" s="402">
        <f>C114</f>
        <v>0</v>
      </c>
      <c r="D119" s="43"/>
      <c r="E119" s="173"/>
      <c r="F119" s="43">
        <v>12399.98</v>
      </c>
      <c r="G119" s="53">
        <v>80.36</v>
      </c>
      <c r="H119" s="53"/>
      <c r="I119" s="53">
        <v>0</v>
      </c>
      <c r="J119" s="53">
        <v>0</v>
      </c>
      <c r="K119" s="53">
        <v>0</v>
      </c>
      <c r="L119" s="53">
        <f>G119+H119+I119-J119+K119</f>
        <v>80.36</v>
      </c>
      <c r="M119" s="53">
        <v>0</v>
      </c>
      <c r="N119" s="53">
        <f>L119-M119</f>
        <v>80.36</v>
      </c>
      <c r="O119" s="53">
        <v>0</v>
      </c>
      <c r="P119" s="53">
        <v>0</v>
      </c>
      <c r="Q119" s="53">
        <f>N119-O119-P119</f>
        <v>80.36</v>
      </c>
    </row>
    <row r="120" spans="1:17">
      <c r="A120" s="47"/>
      <c r="B120" s="48"/>
      <c r="C120" s="402"/>
      <c r="D120" s="43"/>
      <c r="E120" s="173"/>
      <c r="F120" s="4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0" customFormat="1" ht="13.5" thickBot="1">
      <c r="A121" s="60" t="str">
        <f>"TOTAL "&amp;A112</f>
        <v>TOTAL ALAMO TOWN</v>
      </c>
      <c r="B121" s="68">
        <f>B114</f>
        <v>0.64810000000000001</v>
      </c>
      <c r="C121" s="441">
        <f>C114</f>
        <v>0</v>
      </c>
      <c r="D121" s="69">
        <f t="shared" ref="D121:Q121" si="32">SUM(D114:D116,D118:D119)</f>
        <v>404</v>
      </c>
      <c r="E121" s="204"/>
      <c r="F121" s="69">
        <f t="shared" si="32"/>
        <v>14626346.655344853</v>
      </c>
      <c r="G121" s="70">
        <f t="shared" si="32"/>
        <v>4730.6757879999996</v>
      </c>
      <c r="H121" s="70">
        <f t="shared" si="32"/>
        <v>90086.692569999999</v>
      </c>
      <c r="I121" s="70">
        <f t="shared" si="32"/>
        <v>0</v>
      </c>
      <c r="J121" s="70">
        <f t="shared" si="32"/>
        <v>79.349999999999994</v>
      </c>
      <c r="K121" s="70">
        <f t="shared" si="32"/>
        <v>10.84</v>
      </c>
      <c r="L121" s="70">
        <f t="shared" si="32"/>
        <v>94748.858357999998</v>
      </c>
      <c r="M121" s="70">
        <f t="shared" si="32"/>
        <v>3802.7900000000004</v>
      </c>
      <c r="N121" s="70">
        <f t="shared" si="32"/>
        <v>90946.068358000004</v>
      </c>
      <c r="O121" s="70">
        <f t="shared" si="32"/>
        <v>0</v>
      </c>
      <c r="P121" s="70">
        <f t="shared" si="32"/>
        <v>0</v>
      </c>
      <c r="Q121" s="70">
        <f t="shared" si="32"/>
        <v>90946.068358000004</v>
      </c>
    </row>
    <row r="122" spans="1:17">
      <c r="A122" s="150" t="s">
        <v>355</v>
      </c>
      <c r="B122" s="48"/>
      <c r="C122" s="402"/>
      <c r="D122" s="43"/>
      <c r="E122" s="173"/>
      <c r="F122" s="64">
        <v>14617799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1:17">
      <c r="A123" s="151" t="s">
        <v>30</v>
      </c>
      <c r="B123" s="51"/>
      <c r="C123" s="440"/>
      <c r="D123" s="52"/>
      <c r="E123" s="203"/>
      <c r="F123" s="152">
        <f>F121-F122</f>
        <v>8547.6553448531777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>
      <c r="A124" s="54" t="s">
        <v>159</v>
      </c>
      <c r="B124" s="48"/>
      <c r="C124" s="402"/>
      <c r="D124" s="43"/>
      <c r="E124" s="173"/>
      <c r="F124" s="43"/>
      <c r="G124" s="102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1:17">
      <c r="A125" s="47"/>
      <c r="B125" s="48"/>
      <c r="C125" s="402"/>
      <c r="D125" s="43"/>
      <c r="E125" s="65">
        <v>543002</v>
      </c>
      <c r="F125" s="4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1:17">
      <c r="A126" s="49" t="s">
        <v>15</v>
      </c>
      <c r="B126" s="48">
        <v>0.2</v>
      </c>
      <c r="C126" s="406">
        <v>0</v>
      </c>
      <c r="D126" s="43">
        <v>478</v>
      </c>
      <c r="E126" s="173">
        <f>G126/B126*100</f>
        <v>27645</v>
      </c>
      <c r="F126" s="43">
        <v>18989367</v>
      </c>
      <c r="G126" s="53">
        <v>55.29</v>
      </c>
      <c r="H126" s="53">
        <v>37927.08</v>
      </c>
      <c r="I126" s="53">
        <v>0</v>
      </c>
      <c r="J126" s="53">
        <v>3.64</v>
      </c>
      <c r="K126" s="53">
        <v>4.3600000000000003</v>
      </c>
      <c r="L126" s="53">
        <f>G126+H126+I126-J126+K126</f>
        <v>37983.090000000004</v>
      </c>
      <c r="M126" s="53">
        <v>3850.82</v>
      </c>
      <c r="N126" s="53">
        <f>L126-M126</f>
        <v>34132.270000000004</v>
      </c>
      <c r="O126" s="53">
        <v>0</v>
      </c>
      <c r="P126" s="53">
        <v>0</v>
      </c>
      <c r="Q126" s="53">
        <f>N126-O126-P126</f>
        <v>34132.270000000004</v>
      </c>
    </row>
    <row r="127" spans="1:17">
      <c r="A127" s="47" t="s">
        <v>16</v>
      </c>
      <c r="B127" s="48">
        <f>B126</f>
        <v>0.2</v>
      </c>
      <c r="C127" s="402">
        <f>C126</f>
        <v>0</v>
      </c>
      <c r="D127" s="43"/>
      <c r="E127" s="173"/>
      <c r="F127" s="65">
        <f>IF(E125&gt;E126,E125-E126,0)</f>
        <v>515357</v>
      </c>
      <c r="G127" s="53">
        <f>F127*(B127-C127)/100</f>
        <v>1030.7140000000002</v>
      </c>
      <c r="H127" s="53"/>
      <c r="I127" s="53">
        <f>F127*C127/100</f>
        <v>0</v>
      </c>
      <c r="J127" s="53"/>
      <c r="K127" s="53"/>
      <c r="L127" s="53">
        <f>G127+H127+I127-J127+K127</f>
        <v>1030.7140000000002</v>
      </c>
      <c r="M127" s="53"/>
      <c r="N127" s="53">
        <f>L127-M127</f>
        <v>1030.7140000000002</v>
      </c>
      <c r="O127" s="53"/>
      <c r="P127" s="53"/>
      <c r="Q127" s="53">
        <f>N127-O127-P127</f>
        <v>1030.7140000000002</v>
      </c>
    </row>
    <row r="128" spans="1:17">
      <c r="A128" s="47" t="s">
        <v>17</v>
      </c>
      <c r="B128" s="48">
        <f>B126</f>
        <v>0.2</v>
      </c>
      <c r="C128" s="402">
        <f>C126</f>
        <v>0</v>
      </c>
      <c r="D128" s="43"/>
      <c r="E128" s="173"/>
      <c r="F128" s="66">
        <v>144009</v>
      </c>
      <c r="G128" s="53"/>
      <c r="H128" s="53">
        <f>F128*(B128-C128)/100</f>
        <v>288.01800000000003</v>
      </c>
      <c r="I128" s="53">
        <f>F128*C128/100</f>
        <v>0</v>
      </c>
      <c r="J128" s="53">
        <v>0</v>
      </c>
      <c r="K128" s="53">
        <v>0</v>
      </c>
      <c r="L128" s="53">
        <f>G128+H128+I128-J128+K128</f>
        <v>288.01800000000003</v>
      </c>
      <c r="M128" s="53">
        <v>0</v>
      </c>
      <c r="N128" s="53">
        <f>L128-M128</f>
        <v>288.01800000000003</v>
      </c>
      <c r="O128" s="53">
        <v>0</v>
      </c>
      <c r="P128" s="53">
        <v>0</v>
      </c>
      <c r="Q128" s="53">
        <f>N128-O128-P128</f>
        <v>288.01800000000003</v>
      </c>
    </row>
    <row r="129" spans="1:17">
      <c r="A129" s="47" t="s">
        <v>18</v>
      </c>
      <c r="B129" s="48"/>
      <c r="C129" s="402"/>
      <c r="D129" s="43"/>
      <c r="E129" s="173"/>
      <c r="F129" s="4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</row>
    <row r="130" spans="1:17">
      <c r="A130" s="67" t="s">
        <v>19</v>
      </c>
      <c r="B130" s="48">
        <f>B126</f>
        <v>0.2</v>
      </c>
      <c r="C130" s="402">
        <f>C126</f>
        <v>0</v>
      </c>
      <c r="D130" s="43"/>
      <c r="E130" s="173"/>
      <c r="F130" s="43">
        <v>231963.11</v>
      </c>
      <c r="G130" s="53">
        <v>90.56</v>
      </c>
      <c r="H130" s="53">
        <v>373.39</v>
      </c>
      <c r="I130" s="53">
        <v>0</v>
      </c>
      <c r="J130" s="53">
        <v>13.26</v>
      </c>
      <c r="K130" s="53">
        <v>0</v>
      </c>
      <c r="L130" s="53">
        <f>G130+H130+I130-J130+K130</f>
        <v>450.69</v>
      </c>
      <c r="M130" s="53">
        <v>88.36</v>
      </c>
      <c r="N130" s="53">
        <f>L130-M130</f>
        <v>362.33</v>
      </c>
      <c r="O130" s="53">
        <v>0</v>
      </c>
      <c r="P130" s="53">
        <v>0</v>
      </c>
      <c r="Q130" s="53">
        <f>N130-O130-P130</f>
        <v>362.33</v>
      </c>
    </row>
    <row r="131" spans="1:17">
      <c r="A131" s="67" t="s">
        <v>20</v>
      </c>
      <c r="B131" s="48">
        <f>B126</f>
        <v>0.2</v>
      </c>
      <c r="C131" s="402">
        <f>C126</f>
        <v>0</v>
      </c>
      <c r="D131" s="43"/>
      <c r="E131" s="173"/>
      <c r="F131" s="43">
        <v>9552.14</v>
      </c>
      <c r="G131" s="53">
        <v>19.100000000000001</v>
      </c>
      <c r="H131" s="53"/>
      <c r="I131" s="53">
        <v>0</v>
      </c>
      <c r="J131" s="53">
        <v>0</v>
      </c>
      <c r="K131" s="53">
        <v>0</v>
      </c>
      <c r="L131" s="53">
        <f>G131+H131+I131-J131+K131</f>
        <v>19.100000000000001</v>
      </c>
      <c r="M131" s="53">
        <v>0</v>
      </c>
      <c r="N131" s="53">
        <f>L131-M131</f>
        <v>19.100000000000001</v>
      </c>
      <c r="O131" s="53">
        <v>0</v>
      </c>
      <c r="P131" s="53">
        <v>0</v>
      </c>
      <c r="Q131" s="53">
        <f>N131-O131-P131</f>
        <v>19.100000000000001</v>
      </c>
    </row>
    <row r="132" spans="1:17">
      <c r="A132" s="47"/>
      <c r="B132" s="48"/>
      <c r="C132" s="402"/>
      <c r="D132" s="43"/>
      <c r="E132" s="173"/>
      <c r="F132" s="4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</row>
    <row r="133" spans="1:17" s="50" customFormat="1" ht="13.5" thickBot="1">
      <c r="A133" s="60" t="str">
        <f>"TOTAL "&amp;A124</f>
        <v>TOTAL PANACA TOWN</v>
      </c>
      <c r="B133" s="68">
        <f>B126</f>
        <v>0.2</v>
      </c>
      <c r="C133" s="441">
        <f>C126</f>
        <v>0</v>
      </c>
      <c r="D133" s="69">
        <f t="shared" ref="D133:Q133" si="33">SUM(D126:D128,D130:D131)</f>
        <v>478</v>
      </c>
      <c r="E133" s="204"/>
      <c r="F133" s="69">
        <f t="shared" si="33"/>
        <v>19890248.25</v>
      </c>
      <c r="G133" s="70">
        <f t="shared" si="33"/>
        <v>1195.664</v>
      </c>
      <c r="H133" s="70">
        <f t="shared" si="33"/>
        <v>38588.487999999998</v>
      </c>
      <c r="I133" s="70">
        <f t="shared" si="33"/>
        <v>0</v>
      </c>
      <c r="J133" s="70">
        <f t="shared" si="33"/>
        <v>16.899999999999999</v>
      </c>
      <c r="K133" s="70">
        <f t="shared" si="33"/>
        <v>4.3600000000000003</v>
      </c>
      <c r="L133" s="70">
        <f t="shared" si="33"/>
        <v>39771.612000000001</v>
      </c>
      <c r="M133" s="70">
        <f t="shared" si="33"/>
        <v>3939.1800000000003</v>
      </c>
      <c r="N133" s="70">
        <f t="shared" si="33"/>
        <v>35832.432000000008</v>
      </c>
      <c r="O133" s="70">
        <f t="shared" si="33"/>
        <v>0</v>
      </c>
      <c r="P133" s="70">
        <f t="shared" si="33"/>
        <v>0</v>
      </c>
      <c r="Q133" s="70">
        <f t="shared" si="33"/>
        <v>35832.432000000008</v>
      </c>
    </row>
    <row r="134" spans="1:17">
      <c r="A134" s="150" t="s">
        <v>355</v>
      </c>
      <c r="B134" s="48"/>
      <c r="C134" s="402"/>
      <c r="D134" s="43"/>
      <c r="E134" s="173"/>
      <c r="F134" s="64">
        <v>19850898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pans="1:17">
      <c r="A135" s="151" t="s">
        <v>30</v>
      </c>
      <c r="B135" s="51"/>
      <c r="C135" s="440"/>
      <c r="D135" s="52"/>
      <c r="E135" s="203"/>
      <c r="F135" s="152">
        <f>F133-F134</f>
        <v>39350.25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1:17">
      <c r="A136" s="54" t="s">
        <v>160</v>
      </c>
      <c r="B136" s="48"/>
      <c r="C136" s="402"/>
      <c r="D136" s="43"/>
      <c r="E136" s="173"/>
      <c r="F136" s="43"/>
      <c r="G136" s="102"/>
      <c r="H136" s="53"/>
      <c r="I136" s="53"/>
      <c r="J136" s="53"/>
      <c r="K136" s="53"/>
      <c r="L136" s="53"/>
      <c r="M136" s="53"/>
      <c r="N136" s="53"/>
      <c r="O136" s="53"/>
      <c r="P136" s="53"/>
      <c r="Q136" s="53"/>
    </row>
    <row r="137" spans="1:17">
      <c r="A137" s="47"/>
      <c r="B137" s="48"/>
      <c r="C137" s="402"/>
      <c r="D137" s="43"/>
      <c r="E137" s="65">
        <v>429327</v>
      </c>
      <c r="F137" s="4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1:17">
      <c r="A138" s="49" t="s">
        <v>15</v>
      </c>
      <c r="B138" s="48">
        <v>0.34420000000000001</v>
      </c>
      <c r="C138" s="406">
        <v>0</v>
      </c>
      <c r="D138" s="43">
        <v>975</v>
      </c>
      <c r="E138" s="173">
        <f>G138/B138*100</f>
        <v>448184.19523532828</v>
      </c>
      <c r="F138" s="43">
        <v>23531745</v>
      </c>
      <c r="G138" s="53">
        <v>1542.65</v>
      </c>
      <c r="H138" s="53">
        <v>80695.16</v>
      </c>
      <c r="I138" s="53">
        <v>0</v>
      </c>
      <c r="J138" s="53">
        <v>1241.8399999999999</v>
      </c>
      <c r="K138" s="53">
        <v>4.5199999999999996</v>
      </c>
      <c r="L138" s="53">
        <f>G138+H138+I138-J138+K138</f>
        <v>81000.490000000005</v>
      </c>
      <c r="M138" s="53">
        <v>5309.56</v>
      </c>
      <c r="N138" s="53">
        <f>L138-M138</f>
        <v>75690.930000000008</v>
      </c>
      <c r="O138" s="53">
        <v>0</v>
      </c>
      <c r="P138" s="53">
        <v>0</v>
      </c>
      <c r="Q138" s="53">
        <f>N138-O138-P138</f>
        <v>75690.930000000008</v>
      </c>
    </row>
    <row r="139" spans="1:17">
      <c r="A139" s="47" t="s">
        <v>16</v>
      </c>
      <c r="B139" s="48">
        <f>B138</f>
        <v>0.34420000000000001</v>
      </c>
      <c r="C139" s="402">
        <f>C138</f>
        <v>0</v>
      </c>
      <c r="D139" s="43"/>
      <c r="E139" s="173"/>
      <c r="F139" s="65">
        <f>IF(E137&gt;E138,E137-E138,0)</f>
        <v>0</v>
      </c>
      <c r="G139" s="53">
        <f>F139*(B139-C139)/100</f>
        <v>0</v>
      </c>
      <c r="H139" s="53"/>
      <c r="I139" s="53">
        <f>F139*C139/100</f>
        <v>0</v>
      </c>
      <c r="J139" s="53"/>
      <c r="K139" s="53"/>
      <c r="L139" s="53">
        <f>G139+H139+I139-J139+K139</f>
        <v>0</v>
      </c>
      <c r="M139" s="53"/>
      <c r="N139" s="53">
        <f>L139-M139</f>
        <v>0</v>
      </c>
      <c r="O139" s="53"/>
      <c r="P139" s="53"/>
      <c r="Q139" s="53">
        <f>N139-O139-P139</f>
        <v>0</v>
      </c>
    </row>
    <row r="140" spans="1:17">
      <c r="A140" s="47" t="s">
        <v>17</v>
      </c>
      <c r="B140" s="48">
        <f>B138</f>
        <v>0.34420000000000001</v>
      </c>
      <c r="C140" s="402">
        <f>C138</f>
        <v>0</v>
      </c>
      <c r="D140" s="43"/>
      <c r="E140" s="173"/>
      <c r="F140" s="66">
        <v>374208</v>
      </c>
      <c r="G140" s="53"/>
      <c r="H140" s="53">
        <f>F140*(B140-C140)/100</f>
        <v>1288.023936</v>
      </c>
      <c r="I140" s="53">
        <f>F140*C140/100</f>
        <v>0</v>
      </c>
      <c r="J140" s="53">
        <v>0</v>
      </c>
      <c r="K140" s="53">
        <v>0</v>
      </c>
      <c r="L140" s="53">
        <f>G140+H140+I140-J140+K140</f>
        <v>1288.023936</v>
      </c>
      <c r="M140" s="53">
        <v>0</v>
      </c>
      <c r="N140" s="53">
        <f>L140-M140</f>
        <v>1288.023936</v>
      </c>
      <c r="O140" s="53">
        <v>0</v>
      </c>
      <c r="P140" s="53">
        <v>0</v>
      </c>
      <c r="Q140" s="53">
        <f>N140-O140-P140</f>
        <v>1288.023936</v>
      </c>
    </row>
    <row r="141" spans="1:17">
      <c r="A141" s="47" t="s">
        <v>18</v>
      </c>
      <c r="B141" s="48"/>
      <c r="C141" s="402"/>
      <c r="D141" s="43"/>
      <c r="E141" s="173"/>
      <c r="F141" s="4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</row>
    <row r="142" spans="1:17">
      <c r="A142" s="67" t="s">
        <v>19</v>
      </c>
      <c r="B142" s="48">
        <f>B138</f>
        <v>0.34420000000000001</v>
      </c>
      <c r="C142" s="402">
        <f>C138</f>
        <v>0</v>
      </c>
      <c r="D142" s="43"/>
      <c r="E142" s="173"/>
      <c r="F142" s="43">
        <v>495407.95</v>
      </c>
      <c r="G142" s="53">
        <v>332.89</v>
      </c>
      <c r="H142" s="53">
        <v>1372.47</v>
      </c>
      <c r="I142" s="53">
        <v>0</v>
      </c>
      <c r="J142" s="53">
        <v>48.72</v>
      </c>
      <c r="K142" s="53">
        <v>0</v>
      </c>
      <c r="L142" s="53">
        <f>G142+H142+I142-J142+K142</f>
        <v>1656.64</v>
      </c>
      <c r="M142" s="53">
        <v>57.47</v>
      </c>
      <c r="N142" s="53">
        <f>L142-M142</f>
        <v>1599.17</v>
      </c>
      <c r="O142" s="53">
        <v>0</v>
      </c>
      <c r="P142" s="53">
        <v>0</v>
      </c>
      <c r="Q142" s="53">
        <f>N142-O142-P142</f>
        <v>1599.17</v>
      </c>
    </row>
    <row r="143" spans="1:17">
      <c r="A143" s="67" t="s">
        <v>20</v>
      </c>
      <c r="B143" s="48">
        <f>B138</f>
        <v>0.34420000000000001</v>
      </c>
      <c r="C143" s="402">
        <f>C138</f>
        <v>0</v>
      </c>
      <c r="D143" s="43"/>
      <c r="E143" s="173"/>
      <c r="F143" s="43">
        <v>20401.52</v>
      </c>
      <c r="G143" s="53">
        <v>70.22</v>
      </c>
      <c r="H143" s="53"/>
      <c r="I143" s="53">
        <v>0</v>
      </c>
      <c r="J143" s="53">
        <v>0</v>
      </c>
      <c r="K143" s="53">
        <v>0</v>
      </c>
      <c r="L143" s="53">
        <f>G143+H143+I143-J143+K143</f>
        <v>70.22</v>
      </c>
      <c r="M143" s="53">
        <v>0</v>
      </c>
      <c r="N143" s="53">
        <f>L143-M143</f>
        <v>70.22</v>
      </c>
      <c r="O143" s="53">
        <v>0</v>
      </c>
      <c r="P143" s="53">
        <v>0</v>
      </c>
      <c r="Q143" s="53">
        <f>N143-O143-P143</f>
        <v>70.22</v>
      </c>
    </row>
    <row r="144" spans="1:17">
      <c r="A144" s="47"/>
      <c r="B144" s="48"/>
      <c r="C144" s="402"/>
      <c r="D144" s="43"/>
      <c r="E144" s="173"/>
      <c r="F144" s="4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</row>
    <row r="145" spans="1:17" s="50" customFormat="1" ht="13.5" thickBot="1">
      <c r="A145" s="60" t="str">
        <f>"TOTAL "&amp;A136</f>
        <v>TOTAL PIOCHE TOWN</v>
      </c>
      <c r="B145" s="68">
        <f>B138</f>
        <v>0.34420000000000001</v>
      </c>
      <c r="C145" s="441">
        <f>C138</f>
        <v>0</v>
      </c>
      <c r="D145" s="69">
        <f t="shared" ref="D145:Q145" si="34">SUM(D138:D140,D142:D143)</f>
        <v>975</v>
      </c>
      <c r="E145" s="204"/>
      <c r="F145" s="69">
        <f t="shared" si="34"/>
        <v>24421762.469999999</v>
      </c>
      <c r="G145" s="70">
        <f t="shared" si="34"/>
        <v>1945.76</v>
      </c>
      <c r="H145" s="70">
        <f t="shared" si="34"/>
        <v>83355.653936000002</v>
      </c>
      <c r="I145" s="70">
        <f t="shared" si="34"/>
        <v>0</v>
      </c>
      <c r="J145" s="70">
        <f>SUM(J138:J140,J142:J143)</f>
        <v>1290.56</v>
      </c>
      <c r="K145" s="70">
        <f t="shared" si="34"/>
        <v>4.5199999999999996</v>
      </c>
      <c r="L145" s="70">
        <f t="shared" si="34"/>
        <v>84015.373936000004</v>
      </c>
      <c r="M145" s="70">
        <f t="shared" si="34"/>
        <v>5367.0300000000007</v>
      </c>
      <c r="N145" s="70">
        <f t="shared" si="34"/>
        <v>78648.343936000005</v>
      </c>
      <c r="O145" s="70">
        <f t="shared" si="34"/>
        <v>0</v>
      </c>
      <c r="P145" s="70">
        <f t="shared" si="34"/>
        <v>0</v>
      </c>
      <c r="Q145" s="70">
        <f t="shared" si="34"/>
        <v>78648.343936000005</v>
      </c>
    </row>
    <row r="146" spans="1:17">
      <c r="A146" s="150" t="s">
        <v>355</v>
      </c>
      <c r="B146" s="48"/>
      <c r="C146" s="402"/>
      <c r="D146" s="43"/>
      <c r="E146" s="173"/>
      <c r="F146" s="64">
        <v>24388777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1:17">
      <c r="A147" s="151" t="s">
        <v>30</v>
      </c>
      <c r="B147" s="51"/>
      <c r="C147" s="440"/>
      <c r="D147" s="52"/>
      <c r="E147" s="203"/>
      <c r="F147" s="152">
        <f>F145-F146</f>
        <v>32985.469999998808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1:17">
      <c r="A148" s="54" t="s">
        <v>161</v>
      </c>
      <c r="C148" s="402"/>
      <c r="G148" s="102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1:17">
      <c r="C149" s="402"/>
      <c r="E149" s="65">
        <v>11236546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1:17">
      <c r="A150" s="49" t="s">
        <v>15</v>
      </c>
      <c r="B150" s="48">
        <v>0.26790000000000003</v>
      </c>
      <c r="C150" s="406">
        <v>0</v>
      </c>
      <c r="D150" s="43">
        <v>4681</v>
      </c>
      <c r="E150" s="173">
        <f>G150/B150*100</f>
        <v>17349499.813363191</v>
      </c>
      <c r="F150" s="43">
        <v>245996124</v>
      </c>
      <c r="G150" s="53">
        <v>46479.31</v>
      </c>
      <c r="H150" s="53">
        <v>615056.36</v>
      </c>
      <c r="I150" s="53">
        <v>0</v>
      </c>
      <c r="J150" s="53">
        <v>2511.91</v>
      </c>
      <c r="K150" s="53">
        <v>229.54</v>
      </c>
      <c r="L150" s="53">
        <f>G150+H150+I150-J150+K150</f>
        <v>659253.29999999993</v>
      </c>
      <c r="M150" s="53">
        <v>35614.400000000001</v>
      </c>
      <c r="N150" s="53">
        <f>L150-M150</f>
        <v>623638.89999999991</v>
      </c>
      <c r="O150" s="53">
        <v>0</v>
      </c>
      <c r="P150" s="53">
        <v>82585.279999999999</v>
      </c>
      <c r="Q150" s="53">
        <f>N150-O150-P150</f>
        <v>541053.61999999988</v>
      </c>
    </row>
    <row r="151" spans="1:17">
      <c r="A151" s="47" t="s">
        <v>16</v>
      </c>
      <c r="B151" s="48">
        <f>B150</f>
        <v>0.26790000000000003</v>
      </c>
      <c r="C151" s="402">
        <f>C150</f>
        <v>0</v>
      </c>
      <c r="D151" s="43"/>
      <c r="E151" s="173"/>
      <c r="F151" s="65">
        <f>IF(E149&gt;E150,E149-E150,0)</f>
        <v>0</v>
      </c>
      <c r="G151" s="53">
        <f>F151*(B151-C151)/100</f>
        <v>0</v>
      </c>
      <c r="H151" s="53"/>
      <c r="I151" s="53">
        <f>F151*C151/100</f>
        <v>0</v>
      </c>
      <c r="J151" s="53"/>
      <c r="K151" s="53"/>
      <c r="L151" s="53">
        <f>G151+H151+I151-J151+K151</f>
        <v>0</v>
      </c>
      <c r="M151" s="53"/>
      <c r="N151" s="53">
        <f>L151-M151</f>
        <v>0</v>
      </c>
      <c r="O151" s="53"/>
      <c r="P151" s="53"/>
      <c r="Q151" s="53">
        <f>N151-O151-P151</f>
        <v>0</v>
      </c>
    </row>
    <row r="152" spans="1:17">
      <c r="A152" s="47" t="s">
        <v>17</v>
      </c>
      <c r="B152" s="48">
        <f>B150</f>
        <v>0.26790000000000003</v>
      </c>
      <c r="C152" s="402">
        <f>C150</f>
        <v>0</v>
      </c>
      <c r="D152" s="43"/>
      <c r="E152" s="173"/>
      <c r="F152" s="66">
        <v>12801849</v>
      </c>
      <c r="G152" s="53"/>
      <c r="H152" s="53">
        <f>F152*(B152-C152)/100</f>
        <v>34296.153471000005</v>
      </c>
      <c r="I152" s="53">
        <f>F152*C152/100</f>
        <v>0</v>
      </c>
      <c r="J152" s="53">
        <v>0</v>
      </c>
      <c r="K152" s="53">
        <v>0</v>
      </c>
      <c r="L152" s="53">
        <f>G152+H152+I152-J152+K152</f>
        <v>34296.153471000005</v>
      </c>
      <c r="M152" s="53">
        <v>0</v>
      </c>
      <c r="N152" s="53">
        <f>L152-M152</f>
        <v>34296.153471000005</v>
      </c>
      <c r="O152" s="53">
        <v>0</v>
      </c>
      <c r="P152" s="53">
        <v>0</v>
      </c>
      <c r="Q152" s="53">
        <f>N152-O152-P152</f>
        <v>34296.153471000005</v>
      </c>
    </row>
    <row r="153" spans="1:17">
      <c r="A153" s="47" t="s">
        <v>18</v>
      </c>
      <c r="B153" s="48"/>
      <c r="C153" s="402"/>
      <c r="D153" s="43"/>
      <c r="E153" s="173"/>
      <c r="F153" s="4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1:17">
      <c r="A154" s="67" t="s">
        <v>19</v>
      </c>
      <c r="B154" s="48">
        <f>B150</f>
        <v>0.26790000000000003</v>
      </c>
      <c r="C154" s="402">
        <f>C150</f>
        <v>0</v>
      </c>
      <c r="D154" s="43"/>
      <c r="E154" s="173"/>
      <c r="F154" s="43">
        <v>166113083.27000001</v>
      </c>
      <c r="G154" s="53">
        <v>14879.38</v>
      </c>
      <c r="H154" s="53">
        <v>430270.79</v>
      </c>
      <c r="I154" s="53">
        <v>0</v>
      </c>
      <c r="J154" s="53">
        <v>49726.28</v>
      </c>
      <c r="K154" s="53">
        <v>0</v>
      </c>
      <c r="L154" s="53">
        <f>G154+H154+I154-J154+K154</f>
        <v>395423.89</v>
      </c>
      <c r="M154" s="53">
        <v>39810.120000000003</v>
      </c>
      <c r="N154" s="53">
        <f>L154-M154</f>
        <v>355613.77</v>
      </c>
      <c r="O154" s="53">
        <v>0</v>
      </c>
      <c r="P154" s="53">
        <v>58779.49</v>
      </c>
      <c r="Q154" s="53">
        <f>N154-O154-P154</f>
        <v>296834.28000000003</v>
      </c>
    </row>
    <row r="155" spans="1:17">
      <c r="A155" s="67" t="s">
        <v>20</v>
      </c>
      <c r="B155" s="48">
        <f>B150</f>
        <v>0.26790000000000003</v>
      </c>
      <c r="C155" s="402">
        <f>C150</f>
        <v>0</v>
      </c>
      <c r="D155" s="43"/>
      <c r="E155" s="173"/>
      <c r="F155" s="43">
        <v>1051514.73</v>
      </c>
      <c r="G155" s="53">
        <v>2275.36</v>
      </c>
      <c r="H155" s="53">
        <v>541.52</v>
      </c>
      <c r="I155" s="53">
        <v>0</v>
      </c>
      <c r="J155" s="53">
        <v>0</v>
      </c>
      <c r="K155" s="53">
        <v>0</v>
      </c>
      <c r="L155" s="53">
        <f>G155+H155+I155-J155+K155</f>
        <v>2816.88</v>
      </c>
      <c r="M155" s="53">
        <v>1.25</v>
      </c>
      <c r="N155" s="53">
        <f>L155-M155</f>
        <v>2815.63</v>
      </c>
      <c r="O155" s="53">
        <v>0</v>
      </c>
      <c r="P155" s="53">
        <v>25.61</v>
      </c>
      <c r="Q155" s="53">
        <f>N155-O155-P155</f>
        <v>2790.02</v>
      </c>
    </row>
    <row r="156" spans="1:17">
      <c r="A156" s="47"/>
      <c r="B156" s="48"/>
      <c r="C156" s="402"/>
      <c r="D156" s="43"/>
      <c r="E156" s="173"/>
      <c r="F156" s="4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1:17" s="50" customFormat="1" ht="13.5" thickBot="1">
      <c r="A157" s="60" t="str">
        <f>"TOTAL "&amp;A148</f>
        <v>TOTAL LINCOLN CO HOSPITAL DISTRICT</v>
      </c>
      <c r="B157" s="68">
        <f>B150</f>
        <v>0.26790000000000003</v>
      </c>
      <c r="C157" s="441">
        <f>C150</f>
        <v>0</v>
      </c>
      <c r="D157" s="69">
        <f t="shared" ref="D157:Q157" si="35">SUM(D150:D152,D154:D155)</f>
        <v>4681</v>
      </c>
      <c r="E157" s="204"/>
      <c r="F157" s="69">
        <f t="shared" si="35"/>
        <v>425962571</v>
      </c>
      <c r="G157" s="70">
        <f t="shared" si="35"/>
        <v>63634.049999999996</v>
      </c>
      <c r="H157" s="70">
        <f t="shared" si="35"/>
        <v>1080164.823471</v>
      </c>
      <c r="I157" s="70">
        <f t="shared" si="35"/>
        <v>0</v>
      </c>
      <c r="J157" s="70">
        <f t="shared" si="35"/>
        <v>52238.19</v>
      </c>
      <c r="K157" s="70">
        <f t="shared" si="35"/>
        <v>229.54</v>
      </c>
      <c r="L157" s="70">
        <f t="shared" si="35"/>
        <v>1091790.2234709999</v>
      </c>
      <c r="M157" s="70">
        <f t="shared" si="35"/>
        <v>75425.77</v>
      </c>
      <c r="N157" s="70">
        <f t="shared" si="35"/>
        <v>1016364.453471</v>
      </c>
      <c r="O157" s="70">
        <f t="shared" si="35"/>
        <v>0</v>
      </c>
      <c r="P157" s="70">
        <f t="shared" si="35"/>
        <v>141390.37999999998</v>
      </c>
      <c r="Q157" s="70">
        <f t="shared" si="35"/>
        <v>874974.07347099995</v>
      </c>
    </row>
    <row r="158" spans="1:17">
      <c r="A158" s="150" t="s">
        <v>355</v>
      </c>
      <c r="B158" s="48"/>
      <c r="C158" s="402"/>
      <c r="D158" s="43"/>
      <c r="E158" s="173"/>
      <c r="F158" s="64">
        <v>381706404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1:17">
      <c r="A159" s="151" t="s">
        <v>30</v>
      </c>
      <c r="B159" s="51"/>
      <c r="C159" s="440"/>
      <c r="D159" s="52"/>
      <c r="E159" s="203"/>
      <c r="F159" s="152">
        <f>F157-F158</f>
        <v>44256167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1:17">
      <c r="A160" s="54" t="s">
        <v>162</v>
      </c>
      <c r="B160" s="84"/>
      <c r="C160" s="438"/>
      <c r="D160" s="84"/>
      <c r="E160" s="210"/>
      <c r="F160" s="84"/>
      <c r="G160" s="102"/>
      <c r="H160" s="53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1:17">
      <c r="A161" s="83"/>
      <c r="B161" s="84"/>
      <c r="C161" s="438"/>
      <c r="D161" s="84"/>
      <c r="E161" s="65">
        <v>1110230</v>
      </c>
      <c r="F161" s="84"/>
      <c r="G161" s="59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1:17">
      <c r="A162" s="49" t="s">
        <v>15</v>
      </c>
      <c r="B162" s="48">
        <v>0.2334</v>
      </c>
      <c r="C162" s="406">
        <v>0</v>
      </c>
      <c r="D162" s="43">
        <v>825</v>
      </c>
      <c r="E162" s="173">
        <f>G162/B162*100</f>
        <v>189858.61182519278</v>
      </c>
      <c r="F162" s="43">
        <v>32540740</v>
      </c>
      <c r="G162" s="53">
        <v>443.13</v>
      </c>
      <c r="H162" s="53">
        <v>75608.69</v>
      </c>
      <c r="I162" s="53">
        <v>0</v>
      </c>
      <c r="J162" s="53">
        <v>101.96</v>
      </c>
      <c r="K162" s="53">
        <v>35.72</v>
      </c>
      <c r="L162" s="53">
        <f>G162+H162+I162-J162+K162</f>
        <v>75985.58</v>
      </c>
      <c r="M162" s="53">
        <v>3245.27</v>
      </c>
      <c r="N162" s="53">
        <f>L162-M162</f>
        <v>72740.31</v>
      </c>
      <c r="O162" s="53">
        <v>0</v>
      </c>
      <c r="P162" s="53">
        <v>0</v>
      </c>
      <c r="Q162" s="53">
        <f>N162-O162-P162</f>
        <v>72740.31</v>
      </c>
    </row>
    <row r="163" spans="1:17">
      <c r="A163" s="47" t="s">
        <v>16</v>
      </c>
      <c r="B163" s="48">
        <f>B162</f>
        <v>0.2334</v>
      </c>
      <c r="C163" s="402">
        <f>C162</f>
        <v>0</v>
      </c>
      <c r="D163" s="43"/>
      <c r="E163" s="173"/>
      <c r="F163" s="65">
        <f>IF(E161&gt;E162,E161-E162,0)</f>
        <v>920371.38817480719</v>
      </c>
      <c r="G163" s="53">
        <f>F163*(B163-C163)/100</f>
        <v>2148.1468199999999</v>
      </c>
      <c r="H163" s="53"/>
      <c r="I163" s="53">
        <f>F163*C163/100</f>
        <v>0</v>
      </c>
      <c r="J163" s="53"/>
      <c r="K163" s="53"/>
      <c r="L163" s="53">
        <f>G163+H163+I163-J163+K163</f>
        <v>2148.1468199999999</v>
      </c>
      <c r="M163" s="53"/>
      <c r="N163" s="53">
        <f>L163-M163</f>
        <v>2148.1468199999999</v>
      </c>
      <c r="O163" s="53"/>
      <c r="P163" s="53"/>
      <c r="Q163" s="53">
        <f>N163-O163-P163</f>
        <v>2148.1468199999999</v>
      </c>
    </row>
    <row r="164" spans="1:17">
      <c r="A164" s="47" t="s">
        <v>17</v>
      </c>
      <c r="B164" s="48">
        <f>B162</f>
        <v>0.2334</v>
      </c>
      <c r="C164" s="402">
        <f>C162</f>
        <v>0</v>
      </c>
      <c r="D164" s="43"/>
      <c r="E164" s="173"/>
      <c r="F164" s="66">
        <v>1246219</v>
      </c>
      <c r="G164" s="53"/>
      <c r="H164" s="53">
        <f>F164*(B164-C164)/100</f>
        <v>2908.675146</v>
      </c>
      <c r="I164" s="53">
        <f>F164*C164/100</f>
        <v>0</v>
      </c>
      <c r="J164" s="53">
        <v>0</v>
      </c>
      <c r="K164" s="53">
        <v>0</v>
      </c>
      <c r="L164" s="53">
        <f>G164+H164+I164-J164+K164</f>
        <v>2908.675146</v>
      </c>
      <c r="M164" s="53">
        <v>0</v>
      </c>
      <c r="N164" s="53">
        <f>L164-M164</f>
        <v>2908.675146</v>
      </c>
      <c r="O164" s="53">
        <v>0</v>
      </c>
      <c r="P164" s="53">
        <v>0</v>
      </c>
      <c r="Q164" s="53">
        <f>N164-O164-P164</f>
        <v>2908.675146</v>
      </c>
    </row>
    <row r="165" spans="1:17">
      <c r="A165" s="47" t="s">
        <v>18</v>
      </c>
      <c r="B165" s="48"/>
      <c r="C165" s="402"/>
      <c r="D165" s="43"/>
      <c r="E165" s="173"/>
      <c r="F165" s="4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</row>
    <row r="166" spans="1:17">
      <c r="A166" s="67" t="s">
        <v>19</v>
      </c>
      <c r="B166" s="48">
        <f>B162</f>
        <v>0.2334</v>
      </c>
      <c r="C166" s="402">
        <f>C162</f>
        <v>0</v>
      </c>
      <c r="D166" s="43"/>
      <c r="E166" s="173"/>
      <c r="F166" s="43">
        <v>7724421.5599999996</v>
      </c>
      <c r="G166" s="53">
        <v>784.28</v>
      </c>
      <c r="H166" s="53">
        <v>17244.990000000002</v>
      </c>
      <c r="I166" s="53">
        <v>0</v>
      </c>
      <c r="J166" s="53">
        <v>194.51</v>
      </c>
      <c r="K166" s="53">
        <v>0</v>
      </c>
      <c r="L166" s="53">
        <f>G166+H166+I166-J166+K166</f>
        <v>17834.760000000002</v>
      </c>
      <c r="M166" s="53">
        <v>3717.05</v>
      </c>
      <c r="N166" s="53">
        <f>L166-M166</f>
        <v>14117.710000000003</v>
      </c>
      <c r="O166" s="53">
        <v>0</v>
      </c>
      <c r="P166" s="53">
        <v>4148.8900000000003</v>
      </c>
      <c r="Q166" s="53">
        <f>N166-O166-P166</f>
        <v>9968.8200000000033</v>
      </c>
    </row>
    <row r="167" spans="1:17">
      <c r="A167" s="67" t="s">
        <v>20</v>
      </c>
      <c r="B167" s="48">
        <f>B162</f>
        <v>0.2334</v>
      </c>
      <c r="C167" s="402">
        <f>C162</f>
        <v>0</v>
      </c>
      <c r="D167" s="43"/>
      <c r="E167" s="173"/>
      <c r="F167" s="43">
        <v>64268.86</v>
      </c>
      <c r="G167" s="53">
        <v>150</v>
      </c>
      <c r="H167" s="53">
        <v>0</v>
      </c>
      <c r="I167" s="53">
        <v>0</v>
      </c>
      <c r="J167" s="53">
        <v>0</v>
      </c>
      <c r="K167" s="53">
        <v>0</v>
      </c>
      <c r="L167" s="53">
        <f>G167+H167+I167-J167+K167</f>
        <v>150</v>
      </c>
      <c r="M167" s="53">
        <v>0</v>
      </c>
      <c r="N167" s="53">
        <f>L167-M167</f>
        <v>150</v>
      </c>
      <c r="O167" s="53">
        <v>0</v>
      </c>
      <c r="P167" s="53">
        <v>2.21</v>
      </c>
      <c r="Q167" s="53">
        <f>N167-O167-P167</f>
        <v>147.79</v>
      </c>
    </row>
    <row r="168" spans="1:17">
      <c r="A168" s="47"/>
      <c r="B168" s="48"/>
      <c r="C168" s="402"/>
      <c r="D168" s="43"/>
      <c r="E168" s="173"/>
      <c r="F168" s="4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1:17" s="50" customFormat="1" ht="13.5" thickBot="1">
      <c r="A169" s="60" t="str">
        <f>"TOTAL "&amp;A160</f>
        <v>TOTAL PAHRANAGAT VALLEY FIRE DISTRICT</v>
      </c>
      <c r="B169" s="68">
        <f>B162</f>
        <v>0.2334</v>
      </c>
      <c r="C169" s="441">
        <f>C162</f>
        <v>0</v>
      </c>
      <c r="D169" s="69">
        <f t="shared" ref="D169:Q169" si="36">SUM(D162:D164,D166:D167)</f>
        <v>825</v>
      </c>
      <c r="E169" s="204"/>
      <c r="F169" s="69">
        <f t="shared" si="36"/>
        <v>42496020.808174804</v>
      </c>
      <c r="G169" s="70">
        <f t="shared" si="36"/>
        <v>3525.5568199999998</v>
      </c>
      <c r="H169" s="70">
        <f t="shared" si="36"/>
        <v>95762.355146000002</v>
      </c>
      <c r="I169" s="70">
        <f t="shared" si="36"/>
        <v>0</v>
      </c>
      <c r="J169" s="70">
        <f t="shared" si="36"/>
        <v>296.46999999999997</v>
      </c>
      <c r="K169" s="70">
        <f t="shared" si="36"/>
        <v>35.72</v>
      </c>
      <c r="L169" s="70">
        <f t="shared" si="36"/>
        <v>99027.161965999985</v>
      </c>
      <c r="M169" s="70">
        <f t="shared" si="36"/>
        <v>6962.32</v>
      </c>
      <c r="N169" s="70">
        <f t="shared" si="36"/>
        <v>92064.841965999993</v>
      </c>
      <c r="O169" s="70">
        <f t="shared" si="36"/>
        <v>0</v>
      </c>
      <c r="P169" s="70">
        <f t="shared" si="36"/>
        <v>4151.1000000000004</v>
      </c>
      <c r="Q169" s="70">
        <f t="shared" si="36"/>
        <v>87913.741965999987</v>
      </c>
    </row>
    <row r="170" spans="1:17">
      <c r="A170" s="150" t="s">
        <v>355</v>
      </c>
      <c r="B170" s="48"/>
      <c r="C170" s="402"/>
      <c r="D170" s="43"/>
      <c r="E170" s="173"/>
      <c r="F170" s="64">
        <v>40278812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</row>
    <row r="171" spans="1:17">
      <c r="A171" s="151" t="s">
        <v>30</v>
      </c>
      <c r="B171" s="51"/>
      <c r="C171" s="440"/>
      <c r="D171" s="52"/>
      <c r="E171" s="203"/>
      <c r="F171" s="152">
        <f>F169-F170</f>
        <v>2217208.8081748039</v>
      </c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</row>
    <row r="172" spans="1:17">
      <c r="A172" s="54" t="s">
        <v>163</v>
      </c>
      <c r="C172" s="402"/>
      <c r="G172" s="102"/>
      <c r="H172" s="53"/>
      <c r="I172" s="53"/>
      <c r="J172" s="53"/>
      <c r="K172" s="53"/>
      <c r="L172" s="53"/>
      <c r="M172" s="53"/>
      <c r="N172" s="53"/>
      <c r="O172" s="53"/>
      <c r="P172" s="53"/>
      <c r="Q172" s="53"/>
    </row>
    <row r="173" spans="1:17">
      <c r="A173" s="50"/>
      <c r="B173" s="50"/>
      <c r="C173" s="440"/>
      <c r="D173" s="50"/>
      <c r="E173" s="65">
        <v>508403</v>
      </c>
      <c r="F173" s="50"/>
      <c r="G173" s="59"/>
      <c r="H173" s="53"/>
      <c r="I173" s="53"/>
      <c r="J173" s="53"/>
      <c r="K173" s="53"/>
      <c r="L173" s="53"/>
      <c r="M173" s="53"/>
      <c r="N173" s="53"/>
      <c r="O173" s="53"/>
      <c r="P173" s="53"/>
      <c r="Q173" s="53"/>
    </row>
    <row r="174" spans="1:17">
      <c r="A174" s="49" t="s">
        <v>15</v>
      </c>
      <c r="B174" s="48">
        <v>0.2</v>
      </c>
      <c r="C174" s="406">
        <v>0</v>
      </c>
      <c r="D174" s="43">
        <v>1104</v>
      </c>
      <c r="E174" s="173">
        <f>G174/B174*100</f>
        <v>494200</v>
      </c>
      <c r="F174" s="43">
        <v>26904926</v>
      </c>
      <c r="G174" s="53">
        <v>988.4</v>
      </c>
      <c r="H174" s="53">
        <v>53543.199999999997</v>
      </c>
      <c r="I174" s="53">
        <v>0</v>
      </c>
      <c r="J174" s="53">
        <v>721.59</v>
      </c>
      <c r="K174" s="53">
        <v>2.63</v>
      </c>
      <c r="L174" s="53">
        <f>G174+H174+I174-J174+K174</f>
        <v>53812.639999999999</v>
      </c>
      <c r="M174" s="53">
        <v>4037.02</v>
      </c>
      <c r="N174" s="53">
        <f>L174-M174</f>
        <v>49775.62</v>
      </c>
      <c r="O174" s="53">
        <v>0</v>
      </c>
      <c r="P174" s="53">
        <v>0</v>
      </c>
      <c r="Q174" s="53">
        <f>N174-O174-P174</f>
        <v>49775.62</v>
      </c>
    </row>
    <row r="175" spans="1:17">
      <c r="A175" s="47" t="s">
        <v>16</v>
      </c>
      <c r="B175" s="48">
        <f>B174</f>
        <v>0.2</v>
      </c>
      <c r="C175" s="402">
        <f>C174</f>
        <v>0</v>
      </c>
      <c r="D175" s="43"/>
      <c r="E175" s="173"/>
      <c r="F175" s="65">
        <f>IF(E173&gt;E174,E173-E174,0)</f>
        <v>14203</v>
      </c>
      <c r="G175" s="53">
        <f>F175*(B175-C175)/100</f>
        <v>28.406000000000002</v>
      </c>
      <c r="H175" s="53"/>
      <c r="I175" s="53">
        <f>F175*C175/100</f>
        <v>0</v>
      </c>
      <c r="J175" s="53"/>
      <c r="K175" s="53"/>
      <c r="L175" s="53">
        <f>G175+H175+I175-J175+K175</f>
        <v>28.406000000000002</v>
      </c>
      <c r="M175" s="53"/>
      <c r="N175" s="53">
        <f>L175-M175</f>
        <v>28.406000000000002</v>
      </c>
      <c r="O175" s="53"/>
      <c r="P175" s="53"/>
      <c r="Q175" s="53">
        <f>N175-O175-P175</f>
        <v>28.406000000000002</v>
      </c>
    </row>
    <row r="176" spans="1:17">
      <c r="A176" s="47" t="s">
        <v>17</v>
      </c>
      <c r="B176" s="48">
        <f>B174</f>
        <v>0.2</v>
      </c>
      <c r="C176" s="402">
        <f>C174</f>
        <v>0</v>
      </c>
      <c r="D176" s="43"/>
      <c r="E176" s="173"/>
      <c r="F176" s="66">
        <v>374541</v>
      </c>
      <c r="G176" s="53"/>
      <c r="H176" s="53">
        <f>F176*(B176-C176)/100</f>
        <v>749.08199999999999</v>
      </c>
      <c r="I176" s="53">
        <f>F176*C176/100</f>
        <v>0</v>
      </c>
      <c r="J176" s="53">
        <v>0</v>
      </c>
      <c r="K176" s="53">
        <v>0</v>
      </c>
      <c r="L176" s="53">
        <f>G176+H176+I176-J176+K176</f>
        <v>749.08199999999999</v>
      </c>
      <c r="M176" s="53">
        <v>0</v>
      </c>
      <c r="N176" s="53">
        <f>L176-M176</f>
        <v>749.08199999999999</v>
      </c>
      <c r="O176" s="53">
        <v>0</v>
      </c>
      <c r="P176" s="53">
        <v>0</v>
      </c>
      <c r="Q176" s="53">
        <f>N176-O176-P176</f>
        <v>749.08199999999999</v>
      </c>
    </row>
    <row r="177" spans="1:17">
      <c r="A177" s="47" t="s">
        <v>18</v>
      </c>
      <c r="B177" s="48"/>
      <c r="C177" s="402"/>
      <c r="D177" s="43"/>
      <c r="E177" s="173"/>
      <c r="F177" s="4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</row>
    <row r="178" spans="1:17">
      <c r="A178" s="67" t="s">
        <v>19</v>
      </c>
      <c r="B178" s="48">
        <f>B174</f>
        <v>0.2</v>
      </c>
      <c r="C178" s="402">
        <f>C174</f>
        <v>0</v>
      </c>
      <c r="D178" s="43"/>
      <c r="E178" s="173"/>
      <c r="F178" s="43">
        <v>2682823.87</v>
      </c>
      <c r="G178" s="53">
        <v>710.17</v>
      </c>
      <c r="H178" s="53">
        <v>4655.78</v>
      </c>
      <c r="I178" s="53">
        <v>0</v>
      </c>
      <c r="J178" s="53">
        <v>149.94</v>
      </c>
      <c r="K178" s="53">
        <v>0</v>
      </c>
      <c r="L178" s="53">
        <f>G178+H178+I178-J178+K178</f>
        <v>5216.01</v>
      </c>
      <c r="M178" s="53">
        <v>82.6</v>
      </c>
      <c r="N178" s="53">
        <f>L178-M178</f>
        <v>5133.41</v>
      </c>
      <c r="O178" s="53">
        <v>0</v>
      </c>
      <c r="P178" s="53">
        <v>56.15</v>
      </c>
      <c r="Q178" s="53">
        <f>N178-O178-P178</f>
        <v>5077.26</v>
      </c>
    </row>
    <row r="179" spans="1:17">
      <c r="A179" s="67" t="s">
        <v>20</v>
      </c>
      <c r="B179" s="48">
        <f>B174</f>
        <v>0.2</v>
      </c>
      <c r="C179" s="402">
        <f>C174</f>
        <v>0</v>
      </c>
      <c r="D179" s="43"/>
      <c r="E179" s="173"/>
      <c r="F179" s="43">
        <v>69955.509999999995</v>
      </c>
      <c r="G179" s="53">
        <v>139.9</v>
      </c>
      <c r="H179" s="53"/>
      <c r="I179" s="53">
        <v>0</v>
      </c>
      <c r="J179" s="53">
        <v>0</v>
      </c>
      <c r="K179" s="53">
        <v>0</v>
      </c>
      <c r="L179" s="53">
        <f>G179+H179+I179-J179+K179</f>
        <v>139.9</v>
      </c>
      <c r="M179" s="53">
        <v>0</v>
      </c>
      <c r="N179" s="53">
        <f>L179-M179</f>
        <v>139.9</v>
      </c>
      <c r="O179" s="53">
        <v>0</v>
      </c>
      <c r="P179" s="53">
        <v>0.73</v>
      </c>
      <c r="Q179" s="53">
        <f>N179-O179-P179</f>
        <v>139.17000000000002</v>
      </c>
    </row>
    <row r="180" spans="1:17">
      <c r="A180" s="47"/>
      <c r="B180" s="48"/>
      <c r="C180" s="402"/>
      <c r="D180" s="43"/>
      <c r="E180" s="173"/>
      <c r="F180" s="4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</row>
    <row r="181" spans="1:17" s="50" customFormat="1" ht="13.5" thickBot="1">
      <c r="A181" s="60" t="str">
        <f>"TOTAL "&amp;A172</f>
        <v>TOTAL PIOCHE FIRE PROTECTION DISTRICT</v>
      </c>
      <c r="B181" s="68">
        <f>B174</f>
        <v>0.2</v>
      </c>
      <c r="C181" s="441">
        <f>C174</f>
        <v>0</v>
      </c>
      <c r="D181" s="69">
        <f t="shared" ref="D181:Q181" si="37">SUM(D174:D176,D178:D179)</f>
        <v>1104</v>
      </c>
      <c r="E181" s="204"/>
      <c r="F181" s="69">
        <f t="shared" si="37"/>
        <v>30046449.380000003</v>
      </c>
      <c r="G181" s="70">
        <f t="shared" si="37"/>
        <v>1866.876</v>
      </c>
      <c r="H181" s="70">
        <f t="shared" si="37"/>
        <v>58948.061999999998</v>
      </c>
      <c r="I181" s="70">
        <f t="shared" si="37"/>
        <v>0</v>
      </c>
      <c r="J181" s="70">
        <f t="shared" si="37"/>
        <v>871.53</v>
      </c>
      <c r="K181" s="70">
        <f t="shared" si="37"/>
        <v>2.63</v>
      </c>
      <c r="L181" s="70">
        <f t="shared" si="37"/>
        <v>59946.038000000008</v>
      </c>
      <c r="M181" s="70">
        <f t="shared" si="37"/>
        <v>4119.62</v>
      </c>
      <c r="N181" s="70">
        <f t="shared" si="37"/>
        <v>55826.418000000012</v>
      </c>
      <c r="O181" s="70">
        <f t="shared" si="37"/>
        <v>0</v>
      </c>
      <c r="P181" s="70">
        <f t="shared" si="37"/>
        <v>56.879999999999995</v>
      </c>
      <c r="Q181" s="70">
        <f t="shared" si="37"/>
        <v>55769.538000000008</v>
      </c>
    </row>
    <row r="182" spans="1:17">
      <c r="A182" s="150" t="s">
        <v>355</v>
      </c>
      <c r="B182" s="48"/>
      <c r="C182" s="402"/>
      <c r="D182" s="43"/>
      <c r="E182" s="173"/>
      <c r="F182" s="64">
        <v>28534441</v>
      </c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</row>
    <row r="183" spans="1:17">
      <c r="A183" s="151" t="s">
        <v>30</v>
      </c>
      <c r="B183" s="51"/>
      <c r="C183" s="440"/>
      <c r="D183" s="52"/>
      <c r="E183" s="203"/>
      <c r="F183" s="152">
        <f>F181-F182</f>
        <v>1512008.3800000027</v>
      </c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</row>
    <row r="184" spans="1:17" hidden="1">
      <c r="A184" s="54" t="s">
        <v>336</v>
      </c>
      <c r="B184" s="48"/>
      <c r="C184" s="402"/>
      <c r="D184" s="43"/>
      <c r="E184" s="173"/>
      <c r="F184" s="43"/>
      <c r="G184" s="102"/>
      <c r="H184" s="53"/>
      <c r="I184" s="53"/>
      <c r="J184" s="53"/>
      <c r="K184" s="53"/>
      <c r="L184" s="53"/>
      <c r="M184" s="53"/>
      <c r="N184" s="53"/>
      <c r="O184" s="53"/>
      <c r="P184" s="53"/>
      <c r="Q184" s="53"/>
    </row>
    <row r="185" spans="1:17" hidden="1">
      <c r="A185" s="323" t="s">
        <v>459</v>
      </c>
      <c r="B185" s="51"/>
      <c r="C185" s="440"/>
      <c r="D185" s="52"/>
      <c r="E185" s="65"/>
      <c r="F185" s="52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</row>
    <row r="186" spans="1:17" hidden="1">
      <c r="A186" s="49" t="s">
        <v>15</v>
      </c>
      <c r="B186" s="48"/>
      <c r="C186" s="406">
        <v>0</v>
      </c>
      <c r="D186" s="43"/>
      <c r="E186" s="173"/>
      <c r="F186" s="43"/>
      <c r="G186" s="53"/>
      <c r="H186" s="53"/>
      <c r="I186" s="53"/>
      <c r="J186" s="53"/>
      <c r="K186" s="53"/>
      <c r="L186" s="53">
        <f>G186+H186+I186-J186+K186</f>
        <v>0</v>
      </c>
      <c r="M186" s="53"/>
      <c r="N186" s="53">
        <f>L186-M186</f>
        <v>0</v>
      </c>
      <c r="O186" s="53"/>
      <c r="P186" s="53"/>
      <c r="Q186" s="53">
        <f>N186-O186-P186</f>
        <v>0</v>
      </c>
    </row>
    <row r="187" spans="1:17" hidden="1">
      <c r="A187" s="47" t="s">
        <v>16</v>
      </c>
      <c r="B187" s="48">
        <f>B186</f>
        <v>0</v>
      </c>
      <c r="C187" s="402">
        <f>C186</f>
        <v>0</v>
      </c>
      <c r="D187" s="43"/>
      <c r="E187" s="173">
        <v>0</v>
      </c>
      <c r="F187" s="65">
        <f>IF(E185&gt;E186,E185-E186,0)</f>
        <v>0</v>
      </c>
      <c r="G187" s="53">
        <f>F187*(B187-C187)/100</f>
        <v>0</v>
      </c>
      <c r="H187" s="53"/>
      <c r="I187" s="53">
        <f>F187*C187/100</f>
        <v>0</v>
      </c>
      <c r="J187" s="53"/>
      <c r="K187" s="53"/>
      <c r="L187" s="53">
        <f>G187+H187+I187-J187+K187</f>
        <v>0</v>
      </c>
      <c r="M187" s="53"/>
      <c r="N187" s="53">
        <f>L187-M187</f>
        <v>0</v>
      </c>
      <c r="O187" s="53"/>
      <c r="P187" s="53"/>
      <c r="Q187" s="53">
        <f>N187-O187-P187</f>
        <v>0</v>
      </c>
    </row>
    <row r="188" spans="1:17" hidden="1">
      <c r="A188" s="47" t="s">
        <v>17</v>
      </c>
      <c r="B188" s="48">
        <f>B186</f>
        <v>0</v>
      </c>
      <c r="C188" s="402">
        <f>C186</f>
        <v>0</v>
      </c>
      <c r="D188" s="43"/>
      <c r="E188" s="173"/>
      <c r="F188" s="66"/>
      <c r="G188" s="53"/>
      <c r="H188" s="53">
        <f>F188*(B188-C188)/100</f>
        <v>0</v>
      </c>
      <c r="I188" s="53">
        <f>F188*C188/100</f>
        <v>0</v>
      </c>
      <c r="J188" s="53"/>
      <c r="K188" s="53"/>
      <c r="L188" s="53">
        <f>G188+H188+I188-J188+K188</f>
        <v>0</v>
      </c>
      <c r="M188" s="53"/>
      <c r="N188" s="53">
        <f>L188-M188</f>
        <v>0</v>
      </c>
      <c r="O188" s="53"/>
      <c r="P188" s="53"/>
      <c r="Q188" s="53">
        <f>N188-O188-P188</f>
        <v>0</v>
      </c>
    </row>
    <row r="189" spans="1:17" hidden="1">
      <c r="A189" s="47" t="s">
        <v>18</v>
      </c>
      <c r="B189" s="48"/>
      <c r="C189" s="402"/>
      <c r="D189" s="43"/>
      <c r="E189" s="173"/>
      <c r="F189" s="4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</row>
    <row r="190" spans="1:17" hidden="1">
      <c r="A190" s="67" t="s">
        <v>19</v>
      </c>
      <c r="B190" s="48">
        <f>B186</f>
        <v>0</v>
      </c>
      <c r="C190" s="402">
        <f>C186</f>
        <v>0</v>
      </c>
      <c r="D190" s="43"/>
      <c r="E190" s="173"/>
      <c r="F190" s="43"/>
      <c r="G190" s="53"/>
      <c r="H190" s="53"/>
      <c r="I190" s="53"/>
      <c r="J190" s="53"/>
      <c r="K190" s="53"/>
      <c r="L190" s="53">
        <f>G190+H190+I190-J190+K190</f>
        <v>0</v>
      </c>
      <c r="M190" s="53"/>
      <c r="N190" s="53">
        <f>L190-M190</f>
        <v>0</v>
      </c>
      <c r="O190" s="53"/>
      <c r="P190" s="53"/>
      <c r="Q190" s="53">
        <f>N190-O190-P190</f>
        <v>0</v>
      </c>
    </row>
    <row r="191" spans="1:17" hidden="1">
      <c r="A191" s="67" t="s">
        <v>20</v>
      </c>
      <c r="B191" s="48">
        <f>B186</f>
        <v>0</v>
      </c>
      <c r="C191" s="402">
        <f>C186</f>
        <v>0</v>
      </c>
      <c r="D191" s="43"/>
      <c r="E191" s="173"/>
      <c r="F191" s="43"/>
      <c r="G191" s="53"/>
      <c r="H191" s="53"/>
      <c r="I191" s="53"/>
      <c r="J191" s="53"/>
      <c r="K191" s="53"/>
      <c r="L191" s="53">
        <f>G191+H191+I191-J191+K191</f>
        <v>0</v>
      </c>
      <c r="M191" s="53"/>
      <c r="N191" s="53">
        <f>L191-M191</f>
        <v>0</v>
      </c>
      <c r="O191" s="53"/>
      <c r="P191" s="53"/>
      <c r="Q191" s="53">
        <f>N191-O191-P191</f>
        <v>0</v>
      </c>
    </row>
    <row r="192" spans="1:17" hidden="1">
      <c r="A192" s="47"/>
      <c r="B192" s="48"/>
      <c r="C192" s="402"/>
      <c r="D192" s="43"/>
      <c r="E192" s="173"/>
      <c r="F192" s="4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</row>
    <row r="193" spans="1:17" s="50" customFormat="1" ht="13.5" hidden="1" thickBot="1">
      <c r="A193" s="60" t="str">
        <f>"TOTAL "&amp;A184</f>
        <v>TOTAL COYOTE SPRINGS</v>
      </c>
      <c r="B193" s="68">
        <f>B186</f>
        <v>0</v>
      </c>
      <c r="C193" s="441">
        <f>C186</f>
        <v>0</v>
      </c>
      <c r="D193" s="69">
        <f t="shared" ref="D193:Q193" si="38">SUM(D186:D188,D190:D191)</f>
        <v>0</v>
      </c>
      <c r="E193" s="204"/>
      <c r="F193" s="69">
        <f t="shared" si="38"/>
        <v>0</v>
      </c>
      <c r="G193" s="70">
        <f t="shared" si="38"/>
        <v>0</v>
      </c>
      <c r="H193" s="70">
        <f t="shared" si="38"/>
        <v>0</v>
      </c>
      <c r="I193" s="70">
        <f t="shared" si="38"/>
        <v>0</v>
      </c>
      <c r="J193" s="70">
        <f t="shared" si="38"/>
        <v>0</v>
      </c>
      <c r="K193" s="70">
        <f t="shared" si="38"/>
        <v>0</v>
      </c>
      <c r="L193" s="70">
        <f t="shared" si="38"/>
        <v>0</v>
      </c>
      <c r="M193" s="70">
        <f t="shared" si="38"/>
        <v>0</v>
      </c>
      <c r="N193" s="70">
        <f t="shared" si="38"/>
        <v>0</v>
      </c>
      <c r="O193" s="70">
        <f t="shared" si="38"/>
        <v>0</v>
      </c>
      <c r="P193" s="70">
        <f t="shared" si="38"/>
        <v>0</v>
      </c>
      <c r="Q193" s="70">
        <f t="shared" si="38"/>
        <v>0</v>
      </c>
    </row>
    <row r="194" spans="1:17" hidden="1">
      <c r="A194" s="150" t="s">
        <v>355</v>
      </c>
      <c r="B194" s="48"/>
      <c r="C194" s="402"/>
      <c r="D194" s="43"/>
      <c r="E194" s="173"/>
      <c r="F194" s="64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</row>
    <row r="195" spans="1:17" hidden="1">
      <c r="A195" s="151" t="s">
        <v>30</v>
      </c>
      <c r="B195" s="51"/>
      <c r="C195" s="440"/>
      <c r="D195" s="52"/>
      <c r="E195" s="203"/>
      <c r="F195" s="152">
        <f>F193-F194</f>
        <v>0</v>
      </c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</row>
    <row r="196" spans="1:17">
      <c r="A196" s="54" t="s">
        <v>360</v>
      </c>
      <c r="B196" s="48"/>
      <c r="C196" s="402"/>
      <c r="D196" s="43"/>
      <c r="E196" s="173"/>
      <c r="F196" s="43"/>
      <c r="G196" s="102"/>
      <c r="H196" s="53"/>
      <c r="I196" s="53"/>
      <c r="J196" s="53"/>
      <c r="K196" s="53"/>
      <c r="L196" s="53"/>
      <c r="M196" s="53"/>
      <c r="N196" s="53"/>
      <c r="O196" s="53"/>
      <c r="P196" s="53"/>
      <c r="Q196" s="53"/>
    </row>
    <row r="197" spans="1:17">
      <c r="A197" s="50"/>
      <c r="B197" s="51"/>
      <c r="C197" s="440"/>
      <c r="D197" s="52"/>
      <c r="E197" s="65">
        <v>8791280</v>
      </c>
      <c r="F197" s="52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</row>
    <row r="198" spans="1:17">
      <c r="A198" s="49" t="s">
        <v>15</v>
      </c>
      <c r="B198" s="48">
        <v>0.22</v>
      </c>
      <c r="C198" s="406">
        <v>0</v>
      </c>
      <c r="D198" s="43">
        <v>2184</v>
      </c>
      <c r="E198" s="173">
        <f>G198/B198*100</f>
        <v>16593845.454545453</v>
      </c>
      <c r="F198" s="43">
        <v>167172087</v>
      </c>
      <c r="G198" s="53">
        <v>36506.46</v>
      </c>
      <c r="H198" s="53">
        <v>331600.5</v>
      </c>
      <c r="I198" s="53">
        <v>0</v>
      </c>
      <c r="J198" s="53">
        <v>328.42</v>
      </c>
      <c r="K198" s="53">
        <v>76.72</v>
      </c>
      <c r="L198" s="53">
        <f>G198+H198+I198-J198+K198</f>
        <v>367855.26</v>
      </c>
      <c r="M198" s="53">
        <v>18275.73</v>
      </c>
      <c r="N198" s="53">
        <f>L198-M198</f>
        <v>349579.53</v>
      </c>
      <c r="O198" s="53">
        <v>0</v>
      </c>
      <c r="P198" s="53">
        <v>67819.19</v>
      </c>
      <c r="Q198" s="53">
        <f>N198-O198-P198</f>
        <v>281760.34000000003</v>
      </c>
    </row>
    <row r="199" spans="1:17">
      <c r="A199" s="47" t="s">
        <v>16</v>
      </c>
      <c r="B199" s="48">
        <f>B198</f>
        <v>0.22</v>
      </c>
      <c r="C199" s="402">
        <f>C198</f>
        <v>0</v>
      </c>
      <c r="D199" s="43"/>
      <c r="E199" s="173"/>
      <c r="F199" s="65">
        <f>IF(E197&gt;E198,E197-E198,0)</f>
        <v>0</v>
      </c>
      <c r="G199" s="53">
        <f>F199*(B199-C199)/100</f>
        <v>0</v>
      </c>
      <c r="H199" s="53"/>
      <c r="I199" s="53">
        <f>F199*C199/100</f>
        <v>0</v>
      </c>
      <c r="J199" s="53"/>
      <c r="K199" s="53"/>
      <c r="L199" s="53">
        <f>G199+H199+I199-J199+K199</f>
        <v>0</v>
      </c>
      <c r="M199" s="53"/>
      <c r="N199" s="53">
        <f>L199-M199</f>
        <v>0</v>
      </c>
      <c r="O199" s="53"/>
      <c r="P199" s="53"/>
      <c r="Q199" s="53">
        <f>N199-O199-P199</f>
        <v>0</v>
      </c>
    </row>
    <row r="200" spans="1:17">
      <c r="A200" s="47" t="s">
        <v>17</v>
      </c>
      <c r="B200" s="48">
        <f>B198</f>
        <v>0.22</v>
      </c>
      <c r="C200" s="402">
        <f>C198</f>
        <v>0</v>
      </c>
      <c r="D200" s="43"/>
      <c r="E200" s="173"/>
      <c r="F200" s="66">
        <v>10381190</v>
      </c>
      <c r="G200" s="53"/>
      <c r="H200" s="53">
        <f>F200*(B200-C200)/100</f>
        <v>22838.617999999999</v>
      </c>
      <c r="I200" s="53">
        <f>F200*C200/100</f>
        <v>0</v>
      </c>
      <c r="J200" s="53">
        <v>0</v>
      </c>
      <c r="K200" s="53">
        <v>0</v>
      </c>
      <c r="L200" s="53">
        <f>G200+H200+I200-J200+K200</f>
        <v>22838.617999999999</v>
      </c>
      <c r="M200" s="53">
        <v>0</v>
      </c>
      <c r="N200" s="53">
        <f>L200-M200</f>
        <v>22838.617999999999</v>
      </c>
      <c r="O200" s="53">
        <v>0</v>
      </c>
      <c r="P200" s="53">
        <v>0</v>
      </c>
      <c r="Q200" s="53">
        <f>N200-O200-P200</f>
        <v>22838.617999999999</v>
      </c>
    </row>
    <row r="201" spans="1:17">
      <c r="A201" s="47" t="s">
        <v>18</v>
      </c>
      <c r="B201" s="48"/>
      <c r="C201" s="402"/>
      <c r="D201" s="43"/>
      <c r="E201" s="173"/>
      <c r="F201" s="4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</row>
    <row r="202" spans="1:17">
      <c r="A202" s="67" t="s">
        <v>19</v>
      </c>
      <c r="B202" s="48">
        <f>B198</f>
        <v>0.22</v>
      </c>
      <c r="C202" s="402">
        <f>C198</f>
        <v>0</v>
      </c>
      <c r="D202" s="43"/>
      <c r="E202" s="173"/>
      <c r="F202" s="43">
        <v>153219940.52000001</v>
      </c>
      <c r="G202" s="53">
        <v>10537.56</v>
      </c>
      <c r="H202" s="53">
        <v>326635.34000000003</v>
      </c>
      <c r="I202" s="53">
        <v>0</v>
      </c>
      <c r="J202" s="53">
        <v>40463.49</v>
      </c>
      <c r="K202" s="53">
        <v>0</v>
      </c>
      <c r="L202" s="53">
        <f>G202+H202+I202-J202+K202</f>
        <v>296709.41000000003</v>
      </c>
      <c r="M202" s="53">
        <v>22459.22</v>
      </c>
      <c r="N202" s="53">
        <f>L202-M202</f>
        <v>274250.19000000006</v>
      </c>
      <c r="O202" s="53">
        <v>0</v>
      </c>
      <c r="P202" s="53">
        <v>47933.21</v>
      </c>
      <c r="Q202" s="53">
        <f>N202-O202-P202</f>
        <v>226316.98000000007</v>
      </c>
    </row>
    <row r="203" spans="1:17">
      <c r="A203" s="67" t="s">
        <v>20</v>
      </c>
      <c r="B203" s="48">
        <f>B198</f>
        <v>0.22</v>
      </c>
      <c r="C203" s="402">
        <f>C198</f>
        <v>0</v>
      </c>
      <c r="D203" s="43"/>
      <c r="E203" s="173"/>
      <c r="F203" s="43">
        <v>888654.34</v>
      </c>
      <c r="G203" s="53">
        <v>1530.86</v>
      </c>
      <c r="H203" s="53">
        <v>424.16</v>
      </c>
      <c r="I203" s="53">
        <v>0</v>
      </c>
      <c r="J203" s="53"/>
      <c r="K203" s="53">
        <v>0</v>
      </c>
      <c r="L203" s="53">
        <f>G203+H203+I203-J203+K203</f>
        <v>1955.02</v>
      </c>
      <c r="M203" s="53">
        <v>0.97</v>
      </c>
      <c r="N203" s="53">
        <f>L203-M203</f>
        <v>1954.05</v>
      </c>
      <c r="O203" s="53">
        <v>0</v>
      </c>
      <c r="P203" s="53">
        <v>18.149999999999999</v>
      </c>
      <c r="Q203" s="53">
        <f>N203-O203-P203</f>
        <v>1935.8999999999999</v>
      </c>
    </row>
    <row r="204" spans="1:17">
      <c r="A204" s="47"/>
      <c r="B204" s="48"/>
      <c r="C204" s="402"/>
      <c r="D204" s="43"/>
      <c r="E204" s="173"/>
      <c r="F204" s="4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</row>
    <row r="205" spans="1:17" s="50" customFormat="1" ht="13.5" thickBot="1">
      <c r="A205" s="60" t="str">
        <f>"TOTAL "&amp;A196</f>
        <v>TOTAL LINCOLN COUNTY FIRE DISTRICT</v>
      </c>
      <c r="B205" s="68">
        <f>B198</f>
        <v>0.22</v>
      </c>
      <c r="C205" s="441">
        <f>C198</f>
        <v>0</v>
      </c>
      <c r="D205" s="69">
        <f t="shared" ref="D205:Q205" si="39">SUM(D198:D200,D202:D203)</f>
        <v>2184</v>
      </c>
      <c r="E205" s="204"/>
      <c r="F205" s="69">
        <f t="shared" si="39"/>
        <v>331661871.85999995</v>
      </c>
      <c r="G205" s="70">
        <f t="shared" si="39"/>
        <v>48574.879999999997</v>
      </c>
      <c r="H205" s="70">
        <f t="shared" si="39"/>
        <v>681498.61800000013</v>
      </c>
      <c r="I205" s="70">
        <f t="shared" si="39"/>
        <v>0</v>
      </c>
      <c r="J205" s="70">
        <f t="shared" si="39"/>
        <v>40791.909999999996</v>
      </c>
      <c r="K205" s="70">
        <f t="shared" si="39"/>
        <v>76.72</v>
      </c>
      <c r="L205" s="70">
        <f t="shared" si="39"/>
        <v>689358.30800000008</v>
      </c>
      <c r="M205" s="70">
        <f t="shared" si="39"/>
        <v>40735.919999999998</v>
      </c>
      <c r="N205" s="70">
        <f t="shared" si="39"/>
        <v>648622.38800000015</v>
      </c>
      <c r="O205" s="70">
        <f t="shared" si="39"/>
        <v>0</v>
      </c>
      <c r="P205" s="70">
        <f t="shared" si="39"/>
        <v>115770.54999999999</v>
      </c>
      <c r="Q205" s="70">
        <f t="shared" si="39"/>
        <v>532851.83800000011</v>
      </c>
    </row>
    <row r="206" spans="1:17">
      <c r="A206" s="150" t="s">
        <v>355</v>
      </c>
      <c r="B206" s="48"/>
      <c r="C206" s="402"/>
      <c r="D206" s="43"/>
      <c r="E206" s="173"/>
      <c r="F206" s="64">
        <v>289447156</v>
      </c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</row>
    <row r="207" spans="1:17">
      <c r="A207" s="151" t="s">
        <v>30</v>
      </c>
      <c r="B207" s="51"/>
      <c r="C207" s="440"/>
      <c r="D207" s="52"/>
      <c r="E207" s="203"/>
      <c r="F207" s="152">
        <f>F205-F206</f>
        <v>42214715.859999955</v>
      </c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</row>
    <row r="208" spans="1:17">
      <c r="A208" s="54" t="s">
        <v>359</v>
      </c>
      <c r="B208" s="48"/>
      <c r="C208" s="402"/>
      <c r="D208" s="43"/>
      <c r="E208" s="173"/>
      <c r="F208" s="43"/>
      <c r="G208" s="102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>
      <c r="A209" s="50"/>
      <c r="B209" s="51"/>
      <c r="C209" s="440"/>
      <c r="D209" s="52"/>
      <c r="E209" s="65">
        <v>6167212</v>
      </c>
      <c r="F209" s="52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</row>
    <row r="210" spans="1:17">
      <c r="A210" s="49" t="s">
        <v>15</v>
      </c>
      <c r="B210" s="48">
        <v>0.03</v>
      </c>
      <c r="C210" s="406">
        <v>0</v>
      </c>
      <c r="D210" s="43">
        <v>21</v>
      </c>
      <c r="E210" s="173">
        <f>G210/B210*100</f>
        <v>15969833.333333334</v>
      </c>
      <c r="F210" s="43">
        <v>62031292</v>
      </c>
      <c r="G210" s="53">
        <v>4790.95</v>
      </c>
      <c r="H210" s="53">
        <v>13818.43</v>
      </c>
      <c r="I210" s="53">
        <v>0</v>
      </c>
      <c r="J210" s="53">
        <v>0</v>
      </c>
      <c r="K210" s="53">
        <v>0</v>
      </c>
      <c r="L210" s="53">
        <f>G210+H210+I210-J210+K210</f>
        <v>18609.38</v>
      </c>
      <c r="M210" s="53">
        <v>0</v>
      </c>
      <c r="N210" s="53">
        <f>L210-M210</f>
        <v>18609.38</v>
      </c>
      <c r="O210" s="53">
        <v>0</v>
      </c>
      <c r="P210" s="53">
        <v>9248.07</v>
      </c>
      <c r="Q210" s="53">
        <f>N210-O210-P210</f>
        <v>9361.3100000000013</v>
      </c>
    </row>
    <row r="211" spans="1:17">
      <c r="A211" s="47" t="s">
        <v>16</v>
      </c>
      <c r="B211" s="48">
        <f>B210</f>
        <v>0.03</v>
      </c>
      <c r="C211" s="402">
        <f>C210</f>
        <v>0</v>
      </c>
      <c r="D211" s="43"/>
      <c r="E211" s="173">
        <v>0</v>
      </c>
      <c r="F211" s="65">
        <f>IF(E209&gt;E210,E209-E210,0)</f>
        <v>0</v>
      </c>
      <c r="G211" s="53">
        <f>F211*(B211-C211)/100</f>
        <v>0</v>
      </c>
      <c r="H211" s="53"/>
      <c r="I211" s="53">
        <f>F211*C211/100</f>
        <v>0</v>
      </c>
      <c r="J211" s="53"/>
      <c r="K211" s="53"/>
      <c r="L211" s="53">
        <f>G211+H211+I211-J211+K211</f>
        <v>0</v>
      </c>
      <c r="M211" s="53"/>
      <c r="N211" s="53">
        <f>L211-M211</f>
        <v>0</v>
      </c>
      <c r="O211" s="53"/>
      <c r="P211" s="53"/>
      <c r="Q211" s="53">
        <f>N211-O211-P211</f>
        <v>0</v>
      </c>
    </row>
    <row r="212" spans="1:17">
      <c r="A212" s="47" t="s">
        <v>17</v>
      </c>
      <c r="B212" s="48">
        <f>B210</f>
        <v>0.03</v>
      </c>
      <c r="C212" s="402">
        <f>C210</f>
        <v>0</v>
      </c>
      <c r="D212" s="43"/>
      <c r="E212" s="173"/>
      <c r="F212" s="66">
        <v>6977746</v>
      </c>
      <c r="G212" s="53"/>
      <c r="H212" s="53">
        <f>F212*(B212-C212)/100</f>
        <v>2093.3238000000001</v>
      </c>
      <c r="I212" s="53">
        <f>F212*C212/100</f>
        <v>0</v>
      </c>
      <c r="J212" s="53">
        <v>0</v>
      </c>
      <c r="K212" s="53">
        <v>0</v>
      </c>
      <c r="L212" s="53">
        <f>G212+H212+I212-J212+K212</f>
        <v>2093.3238000000001</v>
      </c>
      <c r="M212" s="53">
        <v>0</v>
      </c>
      <c r="N212" s="53">
        <f>L212-M212</f>
        <v>2093.3238000000001</v>
      </c>
      <c r="O212" s="53">
        <v>0</v>
      </c>
      <c r="P212" s="53">
        <v>0</v>
      </c>
      <c r="Q212" s="53">
        <f>N212-O212-P212</f>
        <v>2093.3238000000001</v>
      </c>
    </row>
    <row r="213" spans="1:17">
      <c r="A213" s="47" t="s">
        <v>18</v>
      </c>
      <c r="B213" s="48"/>
      <c r="C213" s="402"/>
      <c r="D213" s="43"/>
      <c r="E213" s="173"/>
      <c r="F213" s="4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</row>
    <row r="214" spans="1:17">
      <c r="A214" s="67" t="s">
        <v>19</v>
      </c>
      <c r="B214" s="48">
        <f>B210</f>
        <v>0.03</v>
      </c>
      <c r="C214" s="402">
        <f>C210</f>
        <v>0</v>
      </c>
      <c r="D214" s="43"/>
      <c r="E214" s="173"/>
      <c r="F214" s="43">
        <v>396112.23</v>
      </c>
      <c r="G214" s="53">
        <v>4.6500000000000004</v>
      </c>
      <c r="H214" s="53">
        <v>114.17</v>
      </c>
      <c r="I214" s="53">
        <v>0</v>
      </c>
      <c r="J214" s="53">
        <v>0.04</v>
      </c>
      <c r="K214" s="53">
        <v>0</v>
      </c>
      <c r="L214" s="53">
        <f>G214+H214+I214-J214+K214</f>
        <v>118.78</v>
      </c>
      <c r="M214" s="53">
        <v>18.25</v>
      </c>
      <c r="N214" s="53">
        <f>L214-M214</f>
        <v>100.53</v>
      </c>
      <c r="O214" s="53">
        <v>0</v>
      </c>
      <c r="P214" s="53">
        <v>0</v>
      </c>
      <c r="Q214" s="53">
        <f>N214-O214-P214</f>
        <v>100.53</v>
      </c>
    </row>
    <row r="215" spans="1:17">
      <c r="A215" s="67" t="s">
        <v>20</v>
      </c>
      <c r="B215" s="48">
        <f>B210</f>
        <v>0.03</v>
      </c>
      <c r="C215" s="402">
        <f>C210</f>
        <v>0</v>
      </c>
      <c r="D215" s="43"/>
      <c r="E215" s="173"/>
      <c r="F215" s="43">
        <v>21754.22</v>
      </c>
      <c r="G215" s="53">
        <v>6.52</v>
      </c>
      <c r="H215" s="53"/>
      <c r="I215" s="53">
        <v>0</v>
      </c>
      <c r="J215" s="53">
        <v>0</v>
      </c>
      <c r="K215" s="53">
        <v>0</v>
      </c>
      <c r="L215" s="53">
        <f>G215+H215+I215-J215+K215</f>
        <v>6.52</v>
      </c>
      <c r="M215" s="53">
        <v>0</v>
      </c>
      <c r="N215" s="53">
        <f>L215-M215</f>
        <v>6.52</v>
      </c>
      <c r="O215" s="53">
        <v>0</v>
      </c>
      <c r="P215" s="53">
        <v>0</v>
      </c>
      <c r="Q215" s="53">
        <f>N215-O215-P215</f>
        <v>6.52</v>
      </c>
    </row>
    <row r="216" spans="1:17">
      <c r="A216" s="47"/>
      <c r="B216" s="48"/>
      <c r="C216" s="402"/>
      <c r="D216" s="43"/>
      <c r="E216" s="173"/>
      <c r="F216" s="4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</row>
    <row r="217" spans="1:17" s="50" customFormat="1" ht="13.5" thickBot="1">
      <c r="A217" s="60" t="str">
        <f>"TOTAL "&amp;A208</f>
        <v>TOTAL SLCHCP GID</v>
      </c>
      <c r="B217" s="68">
        <f>B210</f>
        <v>0.03</v>
      </c>
      <c r="C217" s="441">
        <f>C210</f>
        <v>0</v>
      </c>
      <c r="D217" s="69">
        <f t="shared" ref="D217:Q217" si="40">SUM(D210:D212,D214:D215)</f>
        <v>21</v>
      </c>
      <c r="E217" s="204"/>
      <c r="F217" s="69">
        <f t="shared" si="40"/>
        <v>69426904.450000003</v>
      </c>
      <c r="G217" s="70">
        <f t="shared" si="40"/>
        <v>4802.12</v>
      </c>
      <c r="H217" s="70">
        <f t="shared" si="40"/>
        <v>16025.9238</v>
      </c>
      <c r="I217" s="70">
        <f t="shared" si="40"/>
        <v>0</v>
      </c>
      <c r="J217" s="70">
        <f t="shared" si="40"/>
        <v>0.04</v>
      </c>
      <c r="K217" s="70">
        <f t="shared" si="40"/>
        <v>0</v>
      </c>
      <c r="L217" s="70">
        <f t="shared" si="40"/>
        <v>20828.003800000002</v>
      </c>
      <c r="M217" s="70">
        <f t="shared" si="40"/>
        <v>18.25</v>
      </c>
      <c r="N217" s="70">
        <f t="shared" si="40"/>
        <v>20809.753800000002</v>
      </c>
      <c r="O217" s="70">
        <f t="shared" si="40"/>
        <v>0</v>
      </c>
      <c r="P217" s="70">
        <f t="shared" si="40"/>
        <v>9248.07</v>
      </c>
      <c r="Q217" s="70">
        <f t="shared" si="40"/>
        <v>11561.683800000003</v>
      </c>
    </row>
    <row r="218" spans="1:17">
      <c r="A218" s="150" t="s">
        <v>355</v>
      </c>
      <c r="B218" s="48"/>
      <c r="C218" s="402"/>
      <c r="D218" s="43"/>
      <c r="E218" s="173"/>
      <c r="F218" s="64">
        <v>59624140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</row>
    <row r="219" spans="1:17">
      <c r="A219" s="151" t="s">
        <v>30</v>
      </c>
      <c r="B219" s="51"/>
      <c r="C219" s="440"/>
      <c r="D219" s="52"/>
      <c r="E219" s="203"/>
      <c r="F219" s="152">
        <f>F217-F218</f>
        <v>9802764.450000003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</row>
    <row r="220" spans="1:17" hidden="1">
      <c r="A220" s="54" t="s">
        <v>373</v>
      </c>
      <c r="B220" s="48"/>
      <c r="C220" s="402"/>
      <c r="D220" s="43"/>
      <c r="E220" s="173"/>
      <c r="F220" s="43"/>
      <c r="G220" s="102"/>
      <c r="H220" s="53"/>
      <c r="I220" s="53"/>
      <c r="J220" s="53"/>
      <c r="K220" s="53"/>
      <c r="L220" s="53"/>
      <c r="M220" s="53"/>
      <c r="N220" s="53"/>
      <c r="O220" s="53"/>
      <c r="P220" s="53"/>
      <c r="Q220" s="53"/>
    </row>
    <row r="221" spans="1:17" hidden="1">
      <c r="A221" s="323" t="s">
        <v>470</v>
      </c>
      <c r="B221" s="51"/>
      <c r="C221" s="440"/>
      <c r="D221" s="52"/>
      <c r="E221" s="65"/>
      <c r="F221" s="52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</row>
    <row r="222" spans="1:17" hidden="1">
      <c r="A222" s="49" t="s">
        <v>15</v>
      </c>
      <c r="B222" s="48"/>
      <c r="C222" s="406">
        <v>0</v>
      </c>
      <c r="D222" s="43"/>
      <c r="E222" s="173"/>
      <c r="F222" s="43"/>
      <c r="G222" s="53"/>
      <c r="H222" s="53"/>
      <c r="I222" s="53"/>
      <c r="J222" s="53"/>
      <c r="K222" s="53"/>
      <c r="L222" s="53">
        <f>G222+H222+I222-J222+K222</f>
        <v>0</v>
      </c>
      <c r="M222" s="130"/>
      <c r="N222" s="53">
        <f>L222-M222</f>
        <v>0</v>
      </c>
      <c r="O222" s="53">
        <v>0</v>
      </c>
      <c r="P222" s="53">
        <v>0</v>
      </c>
      <c r="Q222" s="53">
        <f>N222-O222-P222</f>
        <v>0</v>
      </c>
    </row>
    <row r="223" spans="1:17" hidden="1">
      <c r="A223" s="47" t="s">
        <v>16</v>
      </c>
      <c r="B223" s="48"/>
      <c r="C223" s="402">
        <f>C222</f>
        <v>0</v>
      </c>
      <c r="D223" s="43"/>
      <c r="E223" s="173"/>
      <c r="F223" s="65">
        <f>IF(E221&gt;E222,E221-E222,0)</f>
        <v>0</v>
      </c>
      <c r="G223" s="53">
        <f>F223*(B223-C223)/100</f>
        <v>0</v>
      </c>
      <c r="H223" s="53"/>
      <c r="I223" s="53">
        <f>F223*C223/100</f>
        <v>0</v>
      </c>
      <c r="J223" s="53"/>
      <c r="K223" s="53"/>
      <c r="L223" s="53">
        <f>G223+H223+I223-J223+K223</f>
        <v>0</v>
      </c>
      <c r="M223" s="53"/>
      <c r="N223" s="53">
        <f>L223-M223</f>
        <v>0</v>
      </c>
      <c r="O223" s="53"/>
      <c r="P223" s="53"/>
      <c r="Q223" s="53">
        <f>N223-O223-P223</f>
        <v>0</v>
      </c>
    </row>
    <row r="224" spans="1:17" hidden="1">
      <c r="A224" s="47" t="s">
        <v>17</v>
      </c>
      <c r="B224" s="48"/>
      <c r="C224" s="402">
        <f>C222</f>
        <v>0</v>
      </c>
      <c r="D224" s="43"/>
      <c r="E224" s="173"/>
      <c r="F224" s="66"/>
      <c r="G224" s="53"/>
      <c r="H224" s="53">
        <f>F224*(B224-C224)/100</f>
        <v>0</v>
      </c>
      <c r="I224" s="53">
        <f>F224*C224/100</f>
        <v>0</v>
      </c>
      <c r="J224" s="53"/>
      <c r="K224" s="53"/>
      <c r="L224" s="53">
        <f>G224+H224+I224-J224+K224</f>
        <v>0</v>
      </c>
      <c r="M224" s="53"/>
      <c r="N224" s="53">
        <f>L224-M224</f>
        <v>0</v>
      </c>
      <c r="O224" s="53"/>
      <c r="P224" s="53"/>
      <c r="Q224" s="53">
        <f>N224-O224-P224</f>
        <v>0</v>
      </c>
    </row>
    <row r="225" spans="1:17" hidden="1">
      <c r="A225" s="47" t="s">
        <v>18</v>
      </c>
      <c r="B225" s="48"/>
      <c r="C225" s="402"/>
      <c r="D225" s="43"/>
      <c r="E225" s="173"/>
      <c r="F225" s="4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</row>
    <row r="226" spans="1:17" hidden="1">
      <c r="A226" s="67" t="s">
        <v>19</v>
      </c>
      <c r="B226" s="48"/>
      <c r="C226" s="402">
        <f>C222</f>
        <v>0</v>
      </c>
      <c r="D226" s="43"/>
      <c r="E226" s="173"/>
      <c r="F226" s="4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1:17" hidden="1">
      <c r="A227" s="67" t="s">
        <v>20</v>
      </c>
      <c r="B227" s="48"/>
      <c r="C227" s="402">
        <f>C222</f>
        <v>0</v>
      </c>
      <c r="D227" s="43"/>
      <c r="E227" s="173"/>
      <c r="F227" s="4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</row>
    <row r="228" spans="1:17" hidden="1">
      <c r="A228" s="47"/>
      <c r="B228" s="48"/>
      <c r="C228" s="402"/>
      <c r="D228" s="43"/>
      <c r="E228" s="173"/>
      <c r="F228" s="4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1:17" s="50" customFormat="1" ht="13.5" hidden="1" thickBot="1">
      <c r="A229" s="60" t="str">
        <f>"TOTAL "&amp;A220</f>
        <v>TOTAL PANACA FIRE</v>
      </c>
      <c r="B229" s="68">
        <f>B222</f>
        <v>0</v>
      </c>
      <c r="C229" s="441">
        <f>C222</f>
        <v>0</v>
      </c>
      <c r="D229" s="69">
        <f>SUM(D222:D224,D226:D227)</f>
        <v>0</v>
      </c>
      <c r="E229" s="204"/>
      <c r="F229" s="69">
        <f t="shared" ref="F229:Q229" si="41">SUM(F222:F224,F226:F227)</f>
        <v>0</v>
      </c>
      <c r="G229" s="70">
        <f t="shared" si="41"/>
        <v>0</v>
      </c>
      <c r="H229" s="70">
        <f t="shared" si="41"/>
        <v>0</v>
      </c>
      <c r="I229" s="70">
        <f t="shared" si="41"/>
        <v>0</v>
      </c>
      <c r="J229" s="70">
        <f t="shared" si="41"/>
        <v>0</v>
      </c>
      <c r="K229" s="70">
        <f t="shared" si="41"/>
        <v>0</v>
      </c>
      <c r="L229" s="70">
        <f t="shared" si="41"/>
        <v>0</v>
      </c>
      <c r="M229" s="70">
        <f t="shared" si="41"/>
        <v>0</v>
      </c>
      <c r="N229" s="70">
        <f t="shared" si="41"/>
        <v>0</v>
      </c>
      <c r="O229" s="70">
        <f t="shared" si="41"/>
        <v>0</v>
      </c>
      <c r="P229" s="70">
        <f t="shared" si="41"/>
        <v>0</v>
      </c>
      <c r="Q229" s="70">
        <f t="shared" si="41"/>
        <v>0</v>
      </c>
    </row>
    <row r="230" spans="1:17" hidden="1">
      <c r="A230" s="150" t="s">
        <v>355</v>
      </c>
      <c r="B230" s="48"/>
      <c r="C230" s="402"/>
      <c r="D230" s="43"/>
      <c r="E230" s="173"/>
      <c r="F230" s="64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</row>
    <row r="231" spans="1:17" hidden="1">
      <c r="A231" s="151" t="s">
        <v>30</v>
      </c>
      <c r="B231" s="51"/>
      <c r="C231" s="440"/>
      <c r="D231" s="52"/>
      <c r="E231" s="203"/>
      <c r="F231" s="152">
        <f>F229-F230</f>
        <v>0</v>
      </c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1:17">
      <c r="A232" s="83"/>
      <c r="B232" s="84"/>
      <c r="C232" s="438"/>
      <c r="D232" s="84"/>
      <c r="E232" s="210"/>
      <c r="F232" s="84"/>
      <c r="G232" s="84"/>
    </row>
    <row r="233" spans="1:17">
      <c r="C233" s="402"/>
    </row>
    <row r="234" spans="1:17">
      <c r="A234" s="50"/>
      <c r="B234" s="50"/>
      <c r="C234" s="440"/>
      <c r="D234" s="50"/>
      <c r="E234" s="211"/>
      <c r="F234" s="50"/>
      <c r="G234" s="50"/>
    </row>
    <row r="235" spans="1:17">
      <c r="C235" s="402"/>
    </row>
    <row r="236" spans="1:17">
      <c r="C236" s="402"/>
    </row>
    <row r="237" spans="1:17">
      <c r="C237" s="402"/>
    </row>
    <row r="238" spans="1:17">
      <c r="C238" s="402"/>
    </row>
    <row r="239" spans="1:17">
      <c r="A239" s="83"/>
      <c r="B239" s="84"/>
      <c r="C239" s="438"/>
      <c r="D239" s="84"/>
      <c r="E239" s="210"/>
      <c r="F239" s="84"/>
      <c r="G239" s="84"/>
    </row>
    <row r="240" spans="1:17">
      <c r="C240" s="402"/>
    </row>
    <row r="241" spans="1:7">
      <c r="A241" s="50"/>
      <c r="B241" s="50"/>
      <c r="C241" s="440"/>
      <c r="D241" s="50"/>
      <c r="E241" s="211"/>
      <c r="F241" s="50"/>
      <c r="G241" s="50"/>
    </row>
    <row r="242" spans="1:7">
      <c r="C242" s="402"/>
    </row>
    <row r="243" spans="1:7">
      <c r="C243" s="402"/>
    </row>
    <row r="244" spans="1:7">
      <c r="C244" s="402"/>
    </row>
    <row r="245" spans="1:7">
      <c r="C245" s="402"/>
    </row>
    <row r="246" spans="1:7">
      <c r="A246" s="83"/>
      <c r="B246" s="84"/>
      <c r="C246" s="438"/>
      <c r="D246" s="84"/>
      <c r="E246" s="210"/>
      <c r="F246" s="84"/>
      <c r="G246" s="84"/>
    </row>
    <row r="247" spans="1:7">
      <c r="C247" s="402"/>
    </row>
    <row r="248" spans="1:7">
      <c r="A248" s="50"/>
      <c r="B248" s="50"/>
      <c r="C248" s="440"/>
      <c r="D248" s="50"/>
      <c r="E248" s="211"/>
      <c r="F248" s="50"/>
      <c r="G248" s="50"/>
    </row>
    <row r="249" spans="1:7">
      <c r="C249" s="402"/>
    </row>
    <row r="250" spans="1:7">
      <c r="C250" s="402"/>
    </row>
    <row r="251" spans="1:7">
      <c r="C251" s="402"/>
    </row>
    <row r="252" spans="1:7">
      <c r="C252" s="402"/>
    </row>
    <row r="253" spans="1:7">
      <c r="C253" s="402"/>
    </row>
    <row r="254" spans="1:7">
      <c r="A254" s="83"/>
      <c r="B254" s="85"/>
      <c r="C254" s="438"/>
      <c r="D254" s="85"/>
      <c r="E254" s="212"/>
      <c r="F254" s="85"/>
      <c r="G254" s="85"/>
    </row>
    <row r="257" spans="1:7">
      <c r="A257" s="50"/>
      <c r="B257" s="50"/>
      <c r="C257" s="440"/>
      <c r="D257" s="50"/>
      <c r="E257" s="211"/>
      <c r="F257" s="50"/>
      <c r="G257" s="50"/>
    </row>
    <row r="258" spans="1:7">
      <c r="A258" s="50"/>
      <c r="C258" s="402"/>
    </row>
    <row r="259" spans="1:7">
      <c r="A259" s="50"/>
      <c r="B259" s="50"/>
      <c r="C259" s="440"/>
      <c r="D259" s="50"/>
      <c r="E259" s="211"/>
      <c r="F259" s="50"/>
      <c r="G259" s="50"/>
    </row>
    <row r="260" spans="1:7">
      <c r="C260" s="402"/>
    </row>
    <row r="261" spans="1:7">
      <c r="C261" s="402"/>
    </row>
    <row r="262" spans="1:7">
      <c r="C262" s="402"/>
    </row>
    <row r="263" spans="1:7">
      <c r="C263" s="402"/>
    </row>
    <row r="264" spans="1:7">
      <c r="C264" s="402"/>
    </row>
    <row r="265" spans="1:7">
      <c r="A265" s="50"/>
      <c r="B265" s="84"/>
      <c r="C265" s="438"/>
      <c r="D265" s="84"/>
      <c r="E265" s="210"/>
      <c r="F265" s="84"/>
      <c r="G265" s="84"/>
    </row>
    <row r="266" spans="1:7">
      <c r="C266" s="402"/>
    </row>
    <row r="267" spans="1:7">
      <c r="A267" s="50"/>
      <c r="B267" s="50"/>
      <c r="C267" s="440"/>
      <c r="D267" s="50"/>
      <c r="E267" s="211"/>
      <c r="F267" s="50"/>
      <c r="G267" s="50"/>
    </row>
    <row r="268" spans="1:7">
      <c r="C268" s="402"/>
    </row>
    <row r="269" spans="1:7">
      <c r="C269" s="402"/>
    </row>
    <row r="270" spans="1:7">
      <c r="C270" s="402"/>
    </row>
    <row r="271" spans="1:7">
      <c r="C271" s="402"/>
    </row>
    <row r="272" spans="1:7">
      <c r="A272" s="83"/>
      <c r="B272" s="84"/>
      <c r="C272" s="438"/>
      <c r="D272" s="84"/>
      <c r="E272" s="210"/>
      <c r="F272" s="84"/>
      <c r="G272" s="84"/>
    </row>
    <row r="273" spans="1:7">
      <c r="C273" s="402"/>
    </row>
    <row r="274" spans="1:7">
      <c r="A274" s="50"/>
      <c r="B274" s="50"/>
      <c r="C274" s="440"/>
      <c r="D274" s="50"/>
      <c r="E274" s="211"/>
      <c r="F274" s="50"/>
      <c r="G274" s="50"/>
    </row>
    <row r="275" spans="1:7">
      <c r="C275" s="402"/>
    </row>
    <row r="276" spans="1:7">
      <c r="C276" s="402"/>
    </row>
    <row r="277" spans="1:7">
      <c r="C277" s="402"/>
    </row>
    <row r="278" spans="1:7">
      <c r="C278" s="402"/>
    </row>
    <row r="279" spans="1:7">
      <c r="A279" s="83"/>
      <c r="B279" s="84"/>
      <c r="C279" s="438"/>
      <c r="D279" s="84"/>
      <c r="E279" s="210"/>
      <c r="F279" s="84"/>
      <c r="G279" s="84"/>
    </row>
    <row r="280" spans="1:7">
      <c r="C280" s="402"/>
    </row>
    <row r="281" spans="1:7">
      <c r="A281" s="50"/>
      <c r="B281" s="50"/>
      <c r="C281" s="440"/>
      <c r="D281" s="50"/>
      <c r="E281" s="211"/>
      <c r="F281" s="50"/>
      <c r="G281" s="50"/>
    </row>
    <row r="282" spans="1:7">
      <c r="C282" s="402"/>
    </row>
    <row r="283" spans="1:7">
      <c r="C283" s="402"/>
    </row>
    <row r="284" spans="1:7">
      <c r="C284" s="402"/>
    </row>
    <row r="285" spans="1:7">
      <c r="C285" s="402"/>
    </row>
    <row r="286" spans="1:7">
      <c r="A286" s="83"/>
      <c r="B286" s="84"/>
      <c r="C286" s="438"/>
      <c r="D286" s="84"/>
      <c r="E286" s="210"/>
      <c r="F286" s="84"/>
      <c r="G286" s="84"/>
    </row>
    <row r="287" spans="1:7">
      <c r="C287" s="402"/>
    </row>
    <row r="288" spans="1:7">
      <c r="A288" s="50"/>
      <c r="B288" s="50"/>
      <c r="C288" s="440"/>
      <c r="D288" s="50"/>
      <c r="E288" s="211"/>
      <c r="F288" s="50"/>
      <c r="G288" s="50"/>
    </row>
    <row r="289" spans="1:7">
      <c r="C289" s="402"/>
    </row>
    <row r="290" spans="1:7">
      <c r="C290" s="402"/>
    </row>
    <row r="291" spans="1:7">
      <c r="C291" s="402"/>
    </row>
    <row r="292" spans="1:7">
      <c r="C292" s="402"/>
    </row>
    <row r="293" spans="1:7">
      <c r="C293" s="402"/>
    </row>
    <row r="294" spans="1:7">
      <c r="A294" s="83"/>
      <c r="B294" s="85"/>
      <c r="C294" s="438"/>
      <c r="D294" s="85"/>
      <c r="E294" s="212"/>
      <c r="F294" s="85"/>
      <c r="G294" s="85"/>
    </row>
    <row r="295" spans="1:7">
      <c r="C295" s="402"/>
    </row>
    <row r="296" spans="1:7">
      <c r="C296" s="402"/>
    </row>
    <row r="297" spans="1:7">
      <c r="A297" s="50"/>
      <c r="B297" s="50"/>
      <c r="C297" s="440"/>
      <c r="D297" s="50"/>
      <c r="E297" s="211"/>
      <c r="F297" s="50"/>
      <c r="G297" s="50"/>
    </row>
    <row r="298" spans="1:7">
      <c r="A298" s="50"/>
      <c r="C298" s="402"/>
    </row>
    <row r="299" spans="1:7">
      <c r="A299" s="50"/>
      <c r="B299" s="50"/>
      <c r="C299" s="440"/>
      <c r="D299" s="50"/>
      <c r="E299" s="211"/>
      <c r="F299" s="50"/>
      <c r="G299" s="50"/>
    </row>
    <row r="300" spans="1:7">
      <c r="C300" s="402"/>
    </row>
    <row r="301" spans="1:7">
      <c r="C301" s="402"/>
    </row>
    <row r="302" spans="1:7">
      <c r="C302" s="402"/>
    </row>
    <row r="303" spans="1:7">
      <c r="C303" s="402"/>
    </row>
    <row r="304" spans="1:7">
      <c r="C304" s="402"/>
    </row>
    <row r="305" spans="1:7">
      <c r="A305" s="50"/>
      <c r="B305" s="84"/>
      <c r="C305" s="438"/>
      <c r="D305" s="84"/>
      <c r="E305" s="210"/>
      <c r="F305" s="84"/>
      <c r="G305" s="84"/>
    </row>
    <row r="306" spans="1:7">
      <c r="C306" s="402"/>
    </row>
    <row r="307" spans="1:7">
      <c r="A307" s="50"/>
      <c r="B307" s="50"/>
      <c r="C307" s="440"/>
      <c r="D307" s="50"/>
      <c r="E307" s="211"/>
      <c r="F307" s="50"/>
      <c r="G307" s="50"/>
    </row>
    <row r="308" spans="1:7">
      <c r="C308" s="402"/>
    </row>
    <row r="309" spans="1:7">
      <c r="C309" s="402"/>
    </row>
    <row r="310" spans="1:7">
      <c r="C310" s="402"/>
    </row>
    <row r="311" spans="1:7">
      <c r="C311" s="402"/>
    </row>
    <row r="312" spans="1:7">
      <c r="A312" s="83"/>
      <c r="B312" s="84"/>
      <c r="C312" s="438"/>
      <c r="D312" s="84"/>
      <c r="E312" s="210"/>
      <c r="F312" s="84"/>
      <c r="G312" s="84"/>
    </row>
    <row r="313" spans="1:7">
      <c r="C313" s="402"/>
    </row>
    <row r="314" spans="1:7">
      <c r="A314" s="50"/>
      <c r="B314" s="50"/>
      <c r="C314" s="440"/>
      <c r="D314" s="50"/>
      <c r="E314" s="211"/>
      <c r="F314" s="50"/>
      <c r="G314" s="50"/>
    </row>
    <row r="315" spans="1:7">
      <c r="C315" s="402"/>
    </row>
    <row r="316" spans="1:7">
      <c r="C316" s="402"/>
    </row>
    <row r="317" spans="1:7">
      <c r="C317" s="402"/>
    </row>
    <row r="318" spans="1:7">
      <c r="C318" s="402"/>
    </row>
    <row r="319" spans="1:7">
      <c r="A319" s="83"/>
      <c r="B319" s="84"/>
      <c r="C319" s="438"/>
      <c r="D319" s="84"/>
      <c r="E319" s="210"/>
      <c r="F319" s="84"/>
      <c r="G319" s="84"/>
    </row>
    <row r="320" spans="1:7">
      <c r="C320" s="402"/>
    </row>
    <row r="321" spans="1:7">
      <c r="A321" s="50"/>
      <c r="B321" s="50"/>
      <c r="C321" s="440"/>
      <c r="D321" s="50"/>
      <c r="E321" s="211"/>
      <c r="F321" s="50"/>
      <c r="G321" s="50"/>
    </row>
    <row r="322" spans="1:7">
      <c r="C322" s="402"/>
    </row>
    <row r="323" spans="1:7">
      <c r="C323" s="402"/>
    </row>
    <row r="324" spans="1:7">
      <c r="C324" s="402"/>
    </row>
    <row r="325" spans="1:7">
      <c r="C325" s="402"/>
    </row>
    <row r="326" spans="1:7">
      <c r="A326" s="83"/>
      <c r="B326" s="84"/>
      <c r="C326" s="438"/>
      <c r="D326" s="84"/>
      <c r="E326" s="210"/>
      <c r="F326" s="84"/>
      <c r="G326" s="84"/>
    </row>
    <row r="327" spans="1:7">
      <c r="C327" s="402"/>
    </row>
    <row r="328" spans="1:7">
      <c r="A328" s="50"/>
      <c r="B328" s="50"/>
      <c r="C328" s="440"/>
      <c r="D328" s="50"/>
      <c r="E328" s="211"/>
      <c r="F328" s="50"/>
      <c r="G328" s="50"/>
    </row>
    <row r="329" spans="1:7">
      <c r="C329" s="402"/>
    </row>
    <row r="330" spans="1:7">
      <c r="C330" s="402"/>
    </row>
    <row r="331" spans="1:7">
      <c r="C331" s="402"/>
    </row>
    <row r="332" spans="1:7">
      <c r="C332" s="402"/>
    </row>
    <row r="333" spans="1:7">
      <c r="C333" s="402"/>
    </row>
    <row r="334" spans="1:7">
      <c r="A334" s="83"/>
      <c r="B334" s="85"/>
      <c r="C334" s="438"/>
      <c r="D334" s="85"/>
      <c r="E334" s="212"/>
      <c r="F334" s="85"/>
      <c r="G334" s="85"/>
    </row>
    <row r="335" spans="1:7" ht="16.5" customHeight="1">
      <c r="C335" s="402"/>
    </row>
    <row r="336" spans="1:7">
      <c r="C336" s="402"/>
    </row>
    <row r="337" spans="1:7">
      <c r="A337" s="50"/>
      <c r="B337" s="50"/>
      <c r="C337" s="440"/>
      <c r="D337" s="50"/>
      <c r="E337" s="211"/>
      <c r="F337" s="50"/>
      <c r="G337" s="50"/>
    </row>
    <row r="338" spans="1:7">
      <c r="A338" s="50"/>
      <c r="C338" s="402"/>
    </row>
    <row r="339" spans="1:7">
      <c r="A339" s="50"/>
      <c r="B339" s="50"/>
      <c r="C339" s="440"/>
      <c r="D339" s="50"/>
      <c r="E339" s="211"/>
      <c r="F339" s="50"/>
      <c r="G339" s="50"/>
    </row>
    <row r="340" spans="1:7">
      <c r="C340" s="402"/>
    </row>
    <row r="341" spans="1:7">
      <c r="C341" s="402"/>
    </row>
    <row r="342" spans="1:7">
      <c r="C342" s="402"/>
    </row>
    <row r="343" spans="1:7">
      <c r="C343" s="402"/>
    </row>
    <row r="344" spans="1:7">
      <c r="C344" s="402"/>
    </row>
    <row r="345" spans="1:7">
      <c r="A345" s="50"/>
      <c r="B345" s="84"/>
      <c r="C345" s="438"/>
      <c r="D345" s="84"/>
      <c r="E345" s="210"/>
      <c r="F345" s="84"/>
      <c r="G345" s="84"/>
    </row>
    <row r="346" spans="1:7">
      <c r="C346" s="402"/>
    </row>
    <row r="347" spans="1:7">
      <c r="A347" s="50"/>
      <c r="B347" s="50"/>
      <c r="C347" s="440"/>
      <c r="D347" s="50"/>
      <c r="E347" s="211"/>
      <c r="F347" s="50"/>
      <c r="G347" s="50"/>
    </row>
    <row r="348" spans="1:7">
      <c r="C348" s="402"/>
    </row>
    <row r="349" spans="1:7">
      <c r="C349" s="402"/>
    </row>
    <row r="350" spans="1:7">
      <c r="C350" s="402"/>
    </row>
    <row r="351" spans="1:7">
      <c r="C351" s="402"/>
    </row>
    <row r="352" spans="1:7">
      <c r="A352" s="83"/>
      <c r="B352" s="84"/>
      <c r="C352" s="438"/>
      <c r="D352" s="84"/>
      <c r="E352" s="210"/>
      <c r="F352" s="84"/>
      <c r="G352" s="84"/>
    </row>
    <row r="353" spans="1:7">
      <c r="C353" s="402"/>
    </row>
    <row r="354" spans="1:7">
      <c r="A354" s="50"/>
      <c r="B354" s="50"/>
      <c r="C354" s="440"/>
      <c r="D354" s="50"/>
      <c r="E354" s="211"/>
      <c r="F354" s="50"/>
      <c r="G354" s="50"/>
    </row>
    <row r="355" spans="1:7">
      <c r="C355" s="402"/>
    </row>
    <row r="356" spans="1:7">
      <c r="C356" s="402"/>
    </row>
    <row r="357" spans="1:7">
      <c r="C357" s="402"/>
    </row>
    <row r="358" spans="1:7">
      <c r="C358" s="402"/>
    </row>
    <row r="359" spans="1:7">
      <c r="A359" s="83"/>
      <c r="B359" s="84"/>
      <c r="C359" s="438"/>
      <c r="D359" s="84"/>
      <c r="E359" s="210"/>
      <c r="F359" s="84"/>
      <c r="G359" s="84"/>
    </row>
    <row r="360" spans="1:7">
      <c r="C360" s="402"/>
    </row>
    <row r="361" spans="1:7">
      <c r="A361" s="50"/>
      <c r="B361" s="50"/>
      <c r="C361" s="440"/>
      <c r="D361" s="50"/>
      <c r="E361" s="211"/>
      <c r="F361" s="50"/>
      <c r="G361" s="50"/>
    </row>
    <row r="362" spans="1:7">
      <c r="C362" s="402"/>
    </row>
    <row r="363" spans="1:7">
      <c r="C363" s="402"/>
    </row>
    <row r="364" spans="1:7">
      <c r="C364" s="402"/>
    </row>
    <row r="365" spans="1:7">
      <c r="C365" s="402"/>
    </row>
    <row r="366" spans="1:7">
      <c r="A366" s="83"/>
      <c r="B366" s="84"/>
      <c r="C366" s="438"/>
      <c r="D366" s="84"/>
      <c r="E366" s="210"/>
      <c r="F366" s="84"/>
      <c r="G366" s="84"/>
    </row>
    <row r="367" spans="1:7">
      <c r="C367" s="402"/>
    </row>
    <row r="368" spans="1:7">
      <c r="A368" s="50"/>
      <c r="B368" s="50"/>
      <c r="C368" s="440"/>
      <c r="D368" s="50"/>
      <c r="E368" s="211"/>
      <c r="F368" s="50"/>
      <c r="G368" s="50"/>
    </row>
    <row r="369" spans="1:7">
      <c r="C369" s="402"/>
    </row>
    <row r="370" spans="1:7">
      <c r="C370" s="402"/>
    </row>
    <row r="371" spans="1:7">
      <c r="C371" s="402"/>
    </row>
    <row r="372" spans="1:7">
      <c r="C372" s="402"/>
    </row>
    <row r="373" spans="1:7">
      <c r="C373" s="402"/>
    </row>
    <row r="374" spans="1:7">
      <c r="A374" s="83"/>
      <c r="B374" s="85"/>
      <c r="C374" s="438"/>
      <c r="D374" s="85"/>
      <c r="E374" s="212"/>
      <c r="F374" s="85"/>
      <c r="G374" s="85"/>
    </row>
    <row r="375" spans="1:7">
      <c r="C375" s="402"/>
    </row>
    <row r="376" spans="1:7">
      <c r="C376" s="402"/>
    </row>
    <row r="377" spans="1:7">
      <c r="A377" s="50"/>
      <c r="B377" s="50"/>
      <c r="C377" s="440"/>
      <c r="D377" s="50"/>
      <c r="E377" s="211"/>
      <c r="F377" s="50"/>
      <c r="G377" s="50"/>
    </row>
    <row r="378" spans="1:7">
      <c r="A378" s="50"/>
      <c r="C378" s="402"/>
    </row>
    <row r="379" spans="1:7">
      <c r="A379" s="50"/>
      <c r="B379" s="50"/>
      <c r="C379" s="440"/>
      <c r="D379" s="50"/>
      <c r="E379" s="211"/>
      <c r="F379" s="50"/>
      <c r="G379" s="50"/>
    </row>
    <row r="380" spans="1:7">
      <c r="C380" s="402"/>
    </row>
    <row r="381" spans="1:7">
      <c r="C381" s="402"/>
    </row>
    <row r="382" spans="1:7">
      <c r="C382" s="402"/>
    </row>
    <row r="383" spans="1:7">
      <c r="C383" s="402"/>
    </row>
    <row r="384" spans="1:7">
      <c r="C384" s="402"/>
    </row>
    <row r="385" spans="1:7">
      <c r="A385" s="50"/>
      <c r="B385" s="84"/>
      <c r="C385" s="438"/>
      <c r="D385" s="84"/>
      <c r="E385" s="210"/>
      <c r="F385" s="84"/>
      <c r="G385" s="84"/>
    </row>
    <row r="386" spans="1:7">
      <c r="C386" s="402"/>
    </row>
    <row r="387" spans="1:7">
      <c r="A387" s="50"/>
      <c r="B387" s="50"/>
      <c r="C387" s="440"/>
      <c r="D387" s="50"/>
      <c r="E387" s="211"/>
      <c r="F387" s="50"/>
      <c r="G387" s="50"/>
    </row>
    <row r="388" spans="1:7">
      <c r="C388" s="402"/>
    </row>
    <row r="389" spans="1:7">
      <c r="C389" s="402"/>
    </row>
    <row r="390" spans="1:7">
      <c r="C390" s="402"/>
    </row>
    <row r="391" spans="1:7">
      <c r="C391" s="402"/>
    </row>
    <row r="392" spans="1:7">
      <c r="A392" s="83"/>
      <c r="B392" s="84"/>
      <c r="C392" s="438"/>
      <c r="D392" s="84"/>
      <c r="E392" s="210"/>
      <c r="F392" s="84"/>
      <c r="G392" s="84"/>
    </row>
    <row r="393" spans="1:7">
      <c r="C393" s="402"/>
    </row>
    <row r="394" spans="1:7">
      <c r="A394" s="50"/>
      <c r="B394" s="50"/>
      <c r="C394" s="440"/>
      <c r="D394" s="50"/>
      <c r="E394" s="211"/>
      <c r="F394" s="50"/>
      <c r="G394" s="50"/>
    </row>
    <row r="395" spans="1:7">
      <c r="C395" s="402"/>
    </row>
    <row r="396" spans="1:7">
      <c r="C396" s="402"/>
    </row>
    <row r="397" spans="1:7">
      <c r="C397" s="402"/>
    </row>
    <row r="398" spans="1:7">
      <c r="C398" s="402"/>
    </row>
    <row r="399" spans="1:7">
      <c r="A399" s="83"/>
      <c r="B399" s="84"/>
      <c r="C399" s="438"/>
      <c r="D399" s="84"/>
      <c r="E399" s="210"/>
      <c r="F399" s="84"/>
      <c r="G399" s="84"/>
    </row>
    <row r="400" spans="1:7">
      <c r="C400" s="402"/>
    </row>
    <row r="401" spans="1:7">
      <c r="A401" s="50"/>
      <c r="B401" s="50"/>
      <c r="C401" s="440"/>
      <c r="D401" s="50"/>
      <c r="E401" s="211"/>
      <c r="F401" s="50"/>
      <c r="G401" s="50"/>
    </row>
    <row r="402" spans="1:7">
      <c r="C402" s="402"/>
    </row>
    <row r="403" spans="1:7">
      <c r="C403" s="402"/>
    </row>
    <row r="404" spans="1:7">
      <c r="C404" s="402"/>
    </row>
    <row r="405" spans="1:7">
      <c r="C405" s="402"/>
    </row>
    <row r="406" spans="1:7">
      <c r="A406" s="83"/>
      <c r="B406" s="84"/>
      <c r="C406" s="438"/>
      <c r="D406" s="84"/>
      <c r="E406" s="210"/>
      <c r="F406" s="84"/>
      <c r="G406" s="84"/>
    </row>
    <row r="407" spans="1:7">
      <c r="C407" s="402"/>
    </row>
    <row r="408" spans="1:7">
      <c r="A408" s="50"/>
      <c r="B408" s="50"/>
      <c r="C408" s="440"/>
      <c r="D408" s="50"/>
      <c r="E408" s="211"/>
      <c r="F408" s="50"/>
      <c r="G408" s="50"/>
    </row>
    <row r="409" spans="1:7">
      <c r="C409" s="402"/>
    </row>
    <row r="410" spans="1:7">
      <c r="C410" s="402"/>
    </row>
    <row r="411" spans="1:7">
      <c r="C411" s="402"/>
    </row>
    <row r="412" spans="1:7">
      <c r="C412" s="402"/>
    </row>
    <row r="413" spans="1:7">
      <c r="C413" s="402"/>
    </row>
    <row r="414" spans="1:7">
      <c r="A414" s="83"/>
      <c r="B414" s="85"/>
      <c r="C414" s="438"/>
      <c r="D414" s="85"/>
      <c r="E414" s="212"/>
      <c r="F414" s="85"/>
      <c r="G414" s="85"/>
    </row>
    <row r="415" spans="1:7">
      <c r="C415" s="402"/>
    </row>
    <row r="416" spans="1:7">
      <c r="C416" s="402"/>
    </row>
    <row r="417" spans="1:7">
      <c r="A417" s="50"/>
      <c r="B417" s="50"/>
      <c r="C417" s="440"/>
      <c r="D417" s="50"/>
      <c r="E417" s="211"/>
      <c r="F417" s="50"/>
      <c r="G417" s="50"/>
    </row>
    <row r="418" spans="1:7">
      <c r="A418" s="50"/>
      <c r="C418" s="402"/>
    </row>
    <row r="419" spans="1:7">
      <c r="A419" s="50"/>
      <c r="B419" s="50"/>
      <c r="C419" s="440"/>
      <c r="D419" s="50"/>
      <c r="E419" s="211"/>
      <c r="F419" s="50"/>
      <c r="G419" s="50"/>
    </row>
    <row r="420" spans="1:7">
      <c r="C420" s="402"/>
    </row>
    <row r="421" spans="1:7">
      <c r="C421" s="402"/>
    </row>
    <row r="422" spans="1:7">
      <c r="C422" s="402"/>
    </row>
    <row r="423" spans="1:7">
      <c r="C423" s="402"/>
    </row>
    <row r="424" spans="1:7">
      <c r="C424" s="402"/>
    </row>
    <row r="425" spans="1:7">
      <c r="A425" s="50"/>
      <c r="B425" s="84"/>
      <c r="C425" s="438"/>
      <c r="D425" s="84"/>
      <c r="E425" s="210"/>
      <c r="F425" s="84"/>
      <c r="G425" s="84"/>
    </row>
    <row r="426" spans="1:7">
      <c r="C426" s="402"/>
    </row>
    <row r="427" spans="1:7">
      <c r="A427" s="50"/>
      <c r="B427" s="50"/>
      <c r="C427" s="440"/>
      <c r="D427" s="50"/>
      <c r="E427" s="211"/>
      <c r="F427" s="50"/>
      <c r="G427" s="50"/>
    </row>
    <row r="428" spans="1:7">
      <c r="C428" s="402"/>
    </row>
    <row r="429" spans="1:7">
      <c r="C429" s="402"/>
    </row>
    <row r="430" spans="1:7">
      <c r="C430" s="402"/>
    </row>
    <row r="431" spans="1:7">
      <c r="C431" s="402"/>
    </row>
    <row r="432" spans="1:7">
      <c r="A432" s="83"/>
      <c r="B432" s="84"/>
      <c r="C432" s="438"/>
      <c r="D432" s="84"/>
      <c r="E432" s="210"/>
      <c r="F432" s="84"/>
      <c r="G432" s="84"/>
    </row>
    <row r="433" spans="1:7">
      <c r="C433" s="402"/>
    </row>
    <row r="434" spans="1:7">
      <c r="A434" s="50"/>
      <c r="B434" s="50"/>
      <c r="C434" s="440"/>
      <c r="D434" s="50"/>
      <c r="E434" s="211"/>
      <c r="F434" s="50"/>
      <c r="G434" s="50"/>
    </row>
    <row r="435" spans="1:7">
      <c r="C435" s="402"/>
    </row>
    <row r="436" spans="1:7">
      <c r="C436" s="402"/>
    </row>
    <row r="437" spans="1:7">
      <c r="C437" s="402"/>
    </row>
    <row r="438" spans="1:7">
      <c r="C438" s="402"/>
    </row>
    <row r="439" spans="1:7">
      <c r="A439" s="83"/>
      <c r="B439" s="84"/>
      <c r="C439" s="438"/>
      <c r="D439" s="84"/>
      <c r="E439" s="210"/>
      <c r="F439" s="84"/>
      <c r="G439" s="84"/>
    </row>
    <row r="440" spans="1:7">
      <c r="C440" s="402"/>
    </row>
    <row r="441" spans="1:7">
      <c r="A441" s="50"/>
      <c r="B441" s="50"/>
      <c r="C441" s="440"/>
      <c r="D441" s="50"/>
      <c r="E441" s="211"/>
      <c r="F441" s="50"/>
      <c r="G441" s="50"/>
    </row>
    <row r="442" spans="1:7">
      <c r="C442" s="402"/>
    </row>
    <row r="443" spans="1:7">
      <c r="C443" s="402"/>
    </row>
    <row r="444" spans="1:7">
      <c r="C444" s="402"/>
    </row>
    <row r="445" spans="1:7">
      <c r="C445" s="402"/>
    </row>
    <row r="446" spans="1:7">
      <c r="A446" s="83"/>
      <c r="B446" s="84"/>
      <c r="C446" s="438"/>
      <c r="D446" s="84"/>
      <c r="E446" s="210"/>
      <c r="F446" s="84"/>
      <c r="G446" s="84"/>
    </row>
    <row r="447" spans="1:7">
      <c r="C447" s="402"/>
    </row>
    <row r="448" spans="1:7">
      <c r="A448" s="50"/>
      <c r="B448" s="50"/>
      <c r="C448" s="440"/>
      <c r="D448" s="50"/>
      <c r="E448" s="211"/>
      <c r="F448" s="50"/>
      <c r="G448" s="50"/>
    </row>
    <row r="449" spans="1:7">
      <c r="C449" s="402"/>
    </row>
    <row r="450" spans="1:7">
      <c r="C450" s="402"/>
    </row>
    <row r="451" spans="1:7">
      <c r="C451" s="402"/>
    </row>
    <row r="452" spans="1:7">
      <c r="C452" s="402"/>
    </row>
    <row r="453" spans="1:7">
      <c r="C453" s="402"/>
    </row>
    <row r="454" spans="1:7">
      <c r="A454" s="83"/>
      <c r="B454" s="85"/>
      <c r="C454" s="438"/>
      <c r="D454" s="85"/>
      <c r="E454" s="212"/>
      <c r="F454" s="85"/>
      <c r="G454" s="85"/>
    </row>
    <row r="455" spans="1:7">
      <c r="C455" s="402"/>
    </row>
    <row r="456" spans="1:7">
      <c r="C456" s="402"/>
    </row>
    <row r="457" spans="1:7">
      <c r="A457" s="50"/>
      <c r="B457" s="50"/>
      <c r="C457" s="440"/>
      <c r="D457" s="50"/>
      <c r="E457" s="211"/>
      <c r="F457" s="50"/>
      <c r="G457" s="50"/>
    </row>
    <row r="458" spans="1:7">
      <c r="A458" s="50"/>
      <c r="C458" s="402"/>
    </row>
    <row r="459" spans="1:7">
      <c r="A459" s="50"/>
      <c r="B459" s="50"/>
      <c r="C459" s="440"/>
      <c r="D459" s="50"/>
      <c r="E459" s="211"/>
      <c r="F459" s="50"/>
      <c r="G459" s="50"/>
    </row>
    <row r="460" spans="1:7">
      <c r="C460" s="402"/>
    </row>
    <row r="461" spans="1:7">
      <c r="C461" s="402"/>
    </row>
    <row r="462" spans="1:7">
      <c r="C462" s="402"/>
    </row>
    <row r="463" spans="1:7">
      <c r="C463" s="402"/>
    </row>
    <row r="464" spans="1:7">
      <c r="C464" s="402"/>
    </row>
    <row r="465" spans="1:7">
      <c r="A465" s="50"/>
      <c r="B465" s="84"/>
      <c r="C465" s="438"/>
      <c r="D465" s="84"/>
      <c r="E465" s="210"/>
      <c r="F465" s="84"/>
      <c r="G465" s="84"/>
    </row>
    <row r="466" spans="1:7">
      <c r="C466" s="402"/>
    </row>
    <row r="467" spans="1:7">
      <c r="A467" s="50"/>
      <c r="B467" s="50"/>
      <c r="C467" s="440"/>
      <c r="D467" s="50"/>
      <c r="E467" s="211"/>
      <c r="F467" s="50"/>
      <c r="G467" s="50"/>
    </row>
    <row r="468" spans="1:7">
      <c r="C468" s="402"/>
    </row>
    <row r="469" spans="1:7">
      <c r="C469" s="402"/>
    </row>
    <row r="470" spans="1:7">
      <c r="C470" s="402"/>
    </row>
    <row r="471" spans="1:7">
      <c r="C471" s="402"/>
    </row>
    <row r="472" spans="1:7">
      <c r="A472" s="83"/>
      <c r="B472" s="84"/>
      <c r="C472" s="438"/>
      <c r="D472" s="84"/>
      <c r="E472" s="210"/>
      <c r="F472" s="84"/>
      <c r="G472" s="84"/>
    </row>
    <row r="473" spans="1:7">
      <c r="C473" s="402"/>
    </row>
    <row r="474" spans="1:7">
      <c r="A474" s="50"/>
      <c r="B474" s="50"/>
      <c r="C474" s="440"/>
      <c r="D474" s="50"/>
      <c r="E474" s="211"/>
      <c r="F474" s="50"/>
      <c r="G474" s="50"/>
    </row>
    <row r="475" spans="1:7">
      <c r="C475" s="402"/>
    </row>
    <row r="476" spans="1:7">
      <c r="C476" s="402"/>
    </row>
    <row r="477" spans="1:7">
      <c r="C477" s="402"/>
    </row>
    <row r="478" spans="1:7">
      <c r="C478" s="402"/>
    </row>
    <row r="479" spans="1:7">
      <c r="A479" s="83"/>
      <c r="B479" s="84"/>
      <c r="C479" s="438"/>
      <c r="D479" s="84"/>
      <c r="E479" s="210"/>
      <c r="F479" s="84"/>
      <c r="G479" s="84"/>
    </row>
    <row r="480" spans="1:7">
      <c r="C480" s="402"/>
    </row>
    <row r="481" spans="1:7">
      <c r="A481" s="50"/>
      <c r="B481" s="50"/>
      <c r="C481" s="440"/>
      <c r="D481" s="50"/>
      <c r="E481" s="211"/>
      <c r="F481" s="50"/>
      <c r="G481" s="50"/>
    </row>
    <row r="482" spans="1:7">
      <c r="C482" s="402"/>
    </row>
    <row r="483" spans="1:7">
      <c r="C483" s="402"/>
    </row>
    <row r="484" spans="1:7">
      <c r="C484" s="402"/>
    </row>
    <row r="485" spans="1:7">
      <c r="C485" s="402"/>
    </row>
    <row r="486" spans="1:7">
      <c r="A486" s="83"/>
      <c r="B486" s="84"/>
      <c r="C486" s="438"/>
      <c r="D486" s="84"/>
      <c r="E486" s="210"/>
      <c r="F486" s="84"/>
      <c r="G486" s="84"/>
    </row>
    <row r="487" spans="1:7">
      <c r="C487" s="402"/>
    </row>
    <row r="488" spans="1:7">
      <c r="A488" s="50"/>
      <c r="B488" s="50"/>
      <c r="C488" s="440"/>
      <c r="D488" s="50"/>
      <c r="E488" s="211"/>
      <c r="F488" s="50"/>
      <c r="G488" s="50"/>
    </row>
    <row r="489" spans="1:7">
      <c r="C489" s="402"/>
    </row>
    <row r="490" spans="1:7">
      <c r="C490" s="402"/>
    </row>
    <row r="491" spans="1:7">
      <c r="C491" s="402"/>
    </row>
    <row r="492" spans="1:7">
      <c r="C492" s="402"/>
    </row>
    <row r="493" spans="1:7">
      <c r="C493" s="402"/>
    </row>
    <row r="494" spans="1:7">
      <c r="A494" s="83"/>
      <c r="B494" s="85"/>
      <c r="C494" s="438"/>
      <c r="D494" s="85"/>
      <c r="E494" s="212"/>
      <c r="F494" s="85"/>
      <c r="G494" s="85"/>
    </row>
    <row r="495" spans="1:7">
      <c r="C495" s="402"/>
    </row>
    <row r="496" spans="1:7">
      <c r="C496" s="402"/>
    </row>
    <row r="497" spans="1:7">
      <c r="A497" s="50"/>
      <c r="B497" s="50"/>
      <c r="C497" s="440"/>
      <c r="D497" s="50"/>
      <c r="E497" s="211"/>
      <c r="F497" s="50"/>
      <c r="G497" s="50"/>
    </row>
    <row r="498" spans="1:7">
      <c r="A498" s="50"/>
      <c r="C498" s="402"/>
    </row>
    <row r="499" spans="1:7">
      <c r="A499" s="50"/>
      <c r="B499" s="50"/>
      <c r="C499" s="440"/>
      <c r="D499" s="50"/>
      <c r="E499" s="211"/>
      <c r="F499" s="50"/>
      <c r="G499" s="50"/>
    </row>
    <row r="500" spans="1:7">
      <c r="C500" s="402"/>
    </row>
    <row r="501" spans="1:7">
      <c r="C501" s="402"/>
    </row>
    <row r="502" spans="1:7">
      <c r="C502" s="402"/>
    </row>
    <row r="503" spans="1:7">
      <c r="C503" s="402"/>
    </row>
    <row r="504" spans="1:7">
      <c r="C504" s="402"/>
    </row>
    <row r="505" spans="1:7">
      <c r="A505" s="50"/>
      <c r="B505" s="84"/>
      <c r="C505" s="438"/>
      <c r="D505" s="84"/>
      <c r="E505" s="210"/>
      <c r="F505" s="84"/>
      <c r="G505" s="84"/>
    </row>
    <row r="506" spans="1:7">
      <c r="C506" s="402"/>
    </row>
    <row r="507" spans="1:7">
      <c r="A507" s="50"/>
      <c r="B507" s="50"/>
      <c r="C507" s="440"/>
      <c r="D507" s="50"/>
      <c r="E507" s="211"/>
      <c r="F507" s="50"/>
      <c r="G507" s="50"/>
    </row>
    <row r="508" spans="1:7">
      <c r="C508" s="402"/>
    </row>
    <row r="509" spans="1:7">
      <c r="C509" s="402"/>
    </row>
    <row r="510" spans="1:7">
      <c r="C510" s="402"/>
    </row>
    <row r="511" spans="1:7">
      <c r="C511" s="402"/>
    </row>
    <row r="512" spans="1:7">
      <c r="A512" s="83"/>
      <c r="B512" s="84"/>
      <c r="C512" s="438"/>
      <c r="D512" s="84"/>
      <c r="E512" s="210"/>
      <c r="F512" s="84"/>
      <c r="G512" s="84"/>
    </row>
    <row r="513" spans="1:7">
      <c r="C513" s="402"/>
    </row>
    <row r="514" spans="1:7">
      <c r="A514" s="50"/>
      <c r="B514" s="50"/>
      <c r="C514" s="440"/>
      <c r="D514" s="50"/>
      <c r="E514" s="211"/>
      <c r="F514" s="50"/>
      <c r="G514" s="50"/>
    </row>
    <row r="515" spans="1:7">
      <c r="C515" s="402"/>
    </row>
    <row r="516" spans="1:7">
      <c r="C516" s="402"/>
    </row>
    <row r="517" spans="1:7">
      <c r="C517" s="402"/>
    </row>
    <row r="518" spans="1:7">
      <c r="C518" s="402"/>
    </row>
    <row r="519" spans="1:7">
      <c r="A519" s="83"/>
      <c r="B519" s="84"/>
      <c r="C519" s="438"/>
      <c r="D519" s="84"/>
      <c r="E519" s="210"/>
      <c r="F519" s="84"/>
      <c r="G519" s="84"/>
    </row>
    <row r="520" spans="1:7">
      <c r="C520" s="402"/>
    </row>
    <row r="521" spans="1:7">
      <c r="A521" s="50"/>
      <c r="B521" s="50"/>
      <c r="C521" s="440"/>
      <c r="D521" s="50"/>
      <c r="E521" s="211"/>
      <c r="F521" s="50"/>
      <c r="G521" s="50"/>
    </row>
    <row r="522" spans="1:7">
      <c r="C522" s="402"/>
    </row>
    <row r="523" spans="1:7">
      <c r="C523" s="402"/>
    </row>
    <row r="524" spans="1:7">
      <c r="C524" s="402"/>
    </row>
    <row r="525" spans="1:7">
      <c r="C525" s="402"/>
    </row>
    <row r="526" spans="1:7">
      <c r="A526" s="83"/>
      <c r="B526" s="84"/>
      <c r="C526" s="438"/>
      <c r="D526" s="84"/>
      <c r="E526" s="210"/>
      <c r="F526" s="84"/>
      <c r="G526" s="84"/>
    </row>
    <row r="527" spans="1:7">
      <c r="C527" s="402"/>
    </row>
    <row r="528" spans="1:7">
      <c r="A528" s="50"/>
      <c r="B528" s="50"/>
      <c r="C528" s="440"/>
      <c r="D528" s="50"/>
      <c r="E528" s="211"/>
      <c r="F528" s="50"/>
      <c r="G528" s="50"/>
    </row>
    <row r="529" spans="1:7">
      <c r="C529" s="402"/>
    </row>
    <row r="530" spans="1:7">
      <c r="C530" s="402"/>
    </row>
    <row r="531" spans="1:7">
      <c r="C531" s="402"/>
    </row>
    <row r="532" spans="1:7">
      <c r="C532" s="402"/>
    </row>
    <row r="533" spans="1:7">
      <c r="C533" s="402"/>
    </row>
    <row r="534" spans="1:7">
      <c r="A534" s="83"/>
      <c r="B534" s="85"/>
      <c r="C534" s="438"/>
      <c r="D534" s="85"/>
      <c r="E534" s="212"/>
      <c r="F534" s="85"/>
      <c r="G534" s="85"/>
    </row>
    <row r="535" spans="1:7">
      <c r="C535" s="402"/>
    </row>
    <row r="536" spans="1:7">
      <c r="C536" s="402"/>
    </row>
    <row r="537" spans="1:7">
      <c r="A537" s="50"/>
      <c r="B537" s="50"/>
      <c r="C537" s="440"/>
      <c r="D537" s="50"/>
      <c r="E537" s="211"/>
      <c r="F537" s="50"/>
      <c r="G537" s="50"/>
    </row>
    <row r="538" spans="1:7">
      <c r="A538" s="50"/>
      <c r="C538" s="402"/>
    </row>
    <row r="539" spans="1:7">
      <c r="A539" s="50"/>
      <c r="B539" s="50"/>
      <c r="C539" s="440"/>
      <c r="D539" s="50"/>
      <c r="E539" s="211"/>
      <c r="F539" s="50"/>
      <c r="G539" s="50"/>
    </row>
    <row r="540" spans="1:7">
      <c r="C540" s="402"/>
    </row>
    <row r="541" spans="1:7">
      <c r="C541" s="402"/>
    </row>
    <row r="542" spans="1:7">
      <c r="C542" s="402"/>
    </row>
    <row r="543" spans="1:7">
      <c r="C543" s="402"/>
    </row>
    <row r="544" spans="1:7">
      <c r="C544" s="402"/>
    </row>
    <row r="545" spans="1:7">
      <c r="A545" s="50"/>
      <c r="B545" s="84"/>
      <c r="C545" s="438"/>
      <c r="D545" s="84"/>
      <c r="E545" s="210"/>
      <c r="F545" s="84"/>
      <c r="G545" s="84"/>
    </row>
    <row r="546" spans="1:7">
      <c r="C546" s="402"/>
    </row>
    <row r="547" spans="1:7">
      <c r="A547" s="50"/>
      <c r="B547" s="50"/>
      <c r="C547" s="440"/>
      <c r="D547" s="50"/>
      <c r="E547" s="211"/>
      <c r="F547" s="50"/>
      <c r="G547" s="50"/>
    </row>
    <row r="548" spans="1:7">
      <c r="C548" s="402"/>
    </row>
    <row r="549" spans="1:7">
      <c r="C549" s="402"/>
    </row>
    <row r="550" spans="1:7">
      <c r="C550" s="402"/>
    </row>
    <row r="551" spans="1:7">
      <c r="C551" s="402"/>
    </row>
    <row r="552" spans="1:7">
      <c r="A552" s="83"/>
      <c r="B552" s="84"/>
      <c r="C552" s="438"/>
      <c r="D552" s="84"/>
      <c r="E552" s="210"/>
      <c r="F552" s="84"/>
      <c r="G552" s="84"/>
    </row>
    <row r="553" spans="1:7">
      <c r="C553" s="402"/>
    </row>
    <row r="554" spans="1:7">
      <c r="A554" s="50"/>
      <c r="B554" s="50"/>
      <c r="C554" s="440"/>
      <c r="D554" s="50"/>
      <c r="E554" s="211"/>
      <c r="F554" s="50"/>
      <c r="G554" s="50"/>
    </row>
    <row r="555" spans="1:7">
      <c r="C555" s="402"/>
    </row>
    <row r="556" spans="1:7">
      <c r="C556" s="402"/>
    </row>
    <row r="557" spans="1:7">
      <c r="C557" s="402"/>
    </row>
    <row r="558" spans="1:7">
      <c r="C558" s="402"/>
    </row>
    <row r="559" spans="1:7">
      <c r="A559" s="83"/>
      <c r="B559" s="84"/>
      <c r="C559" s="438"/>
      <c r="D559" s="84"/>
      <c r="E559" s="210"/>
      <c r="F559" s="84"/>
      <c r="G559" s="84"/>
    </row>
    <row r="560" spans="1:7">
      <c r="C560" s="402"/>
    </row>
    <row r="561" spans="1:7">
      <c r="A561" s="50"/>
      <c r="B561" s="50"/>
      <c r="C561" s="440"/>
      <c r="D561" s="50"/>
      <c r="E561" s="211"/>
      <c r="F561" s="50"/>
      <c r="G561" s="50"/>
    </row>
    <row r="562" spans="1:7">
      <c r="C562" s="402"/>
    </row>
    <row r="563" spans="1:7">
      <c r="C563" s="402"/>
    </row>
    <row r="564" spans="1:7">
      <c r="C564" s="402"/>
    </row>
    <row r="565" spans="1:7">
      <c r="C565" s="402"/>
    </row>
    <row r="566" spans="1:7">
      <c r="A566" s="83"/>
      <c r="B566" s="84"/>
      <c r="C566" s="438"/>
      <c r="D566" s="84"/>
      <c r="E566" s="210"/>
      <c r="F566" s="84"/>
      <c r="G566" s="84"/>
    </row>
    <row r="567" spans="1:7">
      <c r="C567" s="402"/>
    </row>
    <row r="568" spans="1:7">
      <c r="A568" s="50"/>
      <c r="B568" s="50"/>
      <c r="C568" s="440"/>
      <c r="D568" s="50"/>
      <c r="E568" s="211"/>
      <c r="F568" s="50"/>
      <c r="G568" s="50"/>
    </row>
    <row r="569" spans="1:7">
      <c r="C569" s="402"/>
    </row>
    <row r="570" spans="1:7">
      <c r="C570" s="402"/>
    </row>
    <row r="571" spans="1:7">
      <c r="C571" s="402"/>
    </row>
    <row r="572" spans="1:7">
      <c r="C572" s="402"/>
    </row>
    <row r="573" spans="1:7">
      <c r="C573" s="402"/>
    </row>
    <row r="574" spans="1:7">
      <c r="A574" s="83"/>
      <c r="B574" s="85"/>
      <c r="C574" s="438"/>
      <c r="D574" s="85"/>
      <c r="E574" s="212"/>
      <c r="F574" s="85"/>
      <c r="G574" s="85"/>
    </row>
    <row r="575" spans="1:7">
      <c r="C575" s="402"/>
    </row>
    <row r="576" spans="1:7">
      <c r="C576" s="402"/>
    </row>
    <row r="577" spans="1:7">
      <c r="A577" s="50"/>
      <c r="B577" s="50"/>
      <c r="C577" s="440"/>
      <c r="D577" s="50"/>
      <c r="E577" s="211"/>
      <c r="F577" s="50"/>
      <c r="G577" s="50"/>
    </row>
    <row r="578" spans="1:7">
      <c r="A578" s="50"/>
      <c r="C578" s="402"/>
    </row>
    <row r="579" spans="1:7">
      <c r="A579" s="50"/>
      <c r="B579" s="50"/>
      <c r="C579" s="440"/>
      <c r="D579" s="50"/>
      <c r="E579" s="211"/>
      <c r="F579" s="50"/>
      <c r="G579" s="50"/>
    </row>
    <row r="580" spans="1:7">
      <c r="C580" s="402"/>
    </row>
    <row r="581" spans="1:7">
      <c r="C581" s="402"/>
    </row>
    <row r="582" spans="1:7">
      <c r="C582" s="402"/>
    </row>
    <row r="583" spans="1:7">
      <c r="C583" s="402"/>
    </row>
    <row r="584" spans="1:7">
      <c r="C584" s="402"/>
    </row>
    <row r="585" spans="1:7">
      <c r="A585" s="50"/>
      <c r="B585" s="84"/>
      <c r="C585" s="438"/>
      <c r="D585" s="84"/>
      <c r="E585" s="210"/>
      <c r="F585" s="84"/>
      <c r="G585" s="84"/>
    </row>
    <row r="586" spans="1:7">
      <c r="C586" s="402"/>
    </row>
    <row r="587" spans="1:7">
      <c r="A587" s="50"/>
      <c r="B587" s="50"/>
      <c r="C587" s="440"/>
      <c r="D587" s="50"/>
      <c r="E587" s="211"/>
      <c r="F587" s="50"/>
      <c r="G587" s="50"/>
    </row>
    <row r="588" spans="1:7">
      <c r="C588" s="402"/>
    </row>
    <row r="589" spans="1:7">
      <c r="C589" s="402"/>
    </row>
    <row r="590" spans="1:7">
      <c r="C590" s="402"/>
    </row>
    <row r="591" spans="1:7">
      <c r="C591" s="402"/>
    </row>
    <row r="592" spans="1:7">
      <c r="A592" s="83"/>
      <c r="B592" s="84"/>
      <c r="C592" s="438"/>
      <c r="D592" s="84"/>
      <c r="E592" s="210"/>
      <c r="F592" s="84"/>
      <c r="G592" s="84"/>
    </row>
    <row r="593" spans="1:7">
      <c r="C593" s="402"/>
    </row>
    <row r="594" spans="1:7">
      <c r="A594" s="50"/>
      <c r="B594" s="50"/>
      <c r="C594" s="440"/>
      <c r="D594" s="50"/>
      <c r="E594" s="211"/>
      <c r="F594" s="50"/>
      <c r="G594" s="50"/>
    </row>
    <row r="595" spans="1:7">
      <c r="C595" s="402"/>
    </row>
    <row r="596" spans="1:7">
      <c r="C596" s="402"/>
    </row>
    <row r="597" spans="1:7">
      <c r="C597" s="402"/>
    </row>
    <row r="598" spans="1:7">
      <c r="C598" s="402"/>
    </row>
    <row r="599" spans="1:7">
      <c r="A599" s="83"/>
      <c r="B599" s="84"/>
      <c r="C599" s="438"/>
      <c r="D599" s="84"/>
      <c r="E599" s="210"/>
      <c r="F599" s="84"/>
      <c r="G599" s="84"/>
    </row>
    <row r="600" spans="1:7">
      <c r="C600" s="402"/>
    </row>
    <row r="601" spans="1:7">
      <c r="A601" s="50"/>
      <c r="B601" s="50"/>
      <c r="C601" s="440"/>
      <c r="D601" s="50"/>
      <c r="E601" s="211"/>
      <c r="F601" s="50"/>
      <c r="G601" s="50"/>
    </row>
    <row r="602" spans="1:7">
      <c r="C602" s="402"/>
    </row>
    <row r="603" spans="1:7">
      <c r="C603" s="402"/>
    </row>
    <row r="604" spans="1:7">
      <c r="C604" s="402"/>
    </row>
    <row r="605" spans="1:7">
      <c r="C605" s="402"/>
    </row>
    <row r="606" spans="1:7">
      <c r="A606" s="83"/>
      <c r="B606" s="84"/>
      <c r="C606" s="438"/>
      <c r="D606" s="84"/>
      <c r="E606" s="210"/>
      <c r="F606" s="84"/>
      <c r="G606" s="84"/>
    </row>
    <row r="607" spans="1:7">
      <c r="C607" s="402"/>
    </row>
    <row r="608" spans="1:7">
      <c r="A608" s="50"/>
      <c r="B608" s="50"/>
      <c r="C608" s="440"/>
      <c r="D608" s="50"/>
      <c r="E608" s="211"/>
      <c r="F608" s="50"/>
      <c r="G608" s="50"/>
    </row>
    <row r="609" spans="1:7">
      <c r="C609" s="402"/>
    </row>
    <row r="610" spans="1:7">
      <c r="C610" s="402"/>
    </row>
    <row r="611" spans="1:7">
      <c r="C611" s="402"/>
    </row>
    <row r="612" spans="1:7">
      <c r="C612" s="402"/>
    </row>
    <row r="613" spans="1:7">
      <c r="C613" s="402"/>
    </row>
    <row r="614" spans="1:7">
      <c r="A614" s="83"/>
      <c r="B614" s="85"/>
      <c r="C614" s="438"/>
      <c r="D614" s="85"/>
      <c r="E614" s="212"/>
      <c r="F614" s="85"/>
      <c r="G614" s="85"/>
    </row>
    <row r="615" spans="1:7">
      <c r="C615" s="402"/>
    </row>
    <row r="616" spans="1:7">
      <c r="A616" s="50"/>
      <c r="C616" s="402"/>
    </row>
    <row r="617" spans="1:7">
      <c r="A617" s="50"/>
      <c r="B617" s="50"/>
      <c r="C617" s="440"/>
      <c r="D617" s="50"/>
      <c r="E617" s="211"/>
      <c r="F617" s="50"/>
      <c r="G617" s="50"/>
    </row>
    <row r="618" spans="1:7">
      <c r="A618" s="50"/>
      <c r="C618" s="402"/>
    </row>
    <row r="619" spans="1:7">
      <c r="A619" s="50"/>
      <c r="B619" s="50"/>
      <c r="C619" s="440"/>
      <c r="D619" s="50"/>
      <c r="E619" s="211"/>
      <c r="F619" s="50"/>
      <c r="G619" s="50"/>
    </row>
    <row r="620" spans="1:7">
      <c r="C620" s="402"/>
    </row>
    <row r="621" spans="1:7">
      <c r="C621" s="402"/>
    </row>
    <row r="622" spans="1:7">
      <c r="C622" s="402"/>
    </row>
    <row r="623" spans="1:7">
      <c r="C623" s="402"/>
    </row>
    <row r="624" spans="1:7">
      <c r="C624" s="402"/>
    </row>
    <row r="625" spans="1:7">
      <c r="A625" s="50"/>
      <c r="B625" s="84"/>
      <c r="C625" s="438"/>
      <c r="D625" s="84"/>
      <c r="E625" s="210"/>
      <c r="F625" s="84"/>
      <c r="G625" s="84"/>
    </row>
    <row r="626" spans="1:7">
      <c r="C626" s="402"/>
    </row>
    <row r="627" spans="1:7">
      <c r="A627" s="50"/>
      <c r="B627" s="50"/>
      <c r="C627" s="440"/>
      <c r="D627" s="50"/>
      <c r="E627" s="211"/>
      <c r="F627" s="50"/>
      <c r="G627" s="50"/>
    </row>
    <row r="628" spans="1:7">
      <c r="C628" s="402"/>
    </row>
    <row r="629" spans="1:7">
      <c r="C629" s="402"/>
    </row>
    <row r="630" spans="1:7">
      <c r="C630" s="402"/>
    </row>
    <row r="631" spans="1:7">
      <c r="C631" s="402"/>
    </row>
    <row r="632" spans="1:7">
      <c r="A632" s="83"/>
      <c r="B632" s="84"/>
      <c r="C632" s="438"/>
      <c r="D632" s="84"/>
      <c r="E632" s="210"/>
      <c r="F632" s="84"/>
      <c r="G632" s="84"/>
    </row>
    <row r="633" spans="1:7">
      <c r="C633" s="402"/>
    </row>
    <row r="634" spans="1:7">
      <c r="A634" s="50"/>
      <c r="B634" s="50"/>
      <c r="C634" s="440"/>
      <c r="D634" s="50"/>
      <c r="E634" s="211"/>
      <c r="F634" s="50"/>
      <c r="G634" s="50"/>
    </row>
    <row r="635" spans="1:7">
      <c r="C635" s="402"/>
    </row>
    <row r="636" spans="1:7">
      <c r="C636" s="402"/>
    </row>
    <row r="637" spans="1:7">
      <c r="C637" s="402"/>
    </row>
    <row r="638" spans="1:7">
      <c r="C638" s="402"/>
    </row>
    <row r="639" spans="1:7">
      <c r="A639" s="83"/>
      <c r="B639" s="84"/>
      <c r="C639" s="438"/>
      <c r="D639" s="84"/>
      <c r="E639" s="210"/>
      <c r="F639" s="84"/>
      <c r="G639" s="84"/>
    </row>
    <row r="640" spans="1:7">
      <c r="C640" s="402"/>
    </row>
    <row r="641" spans="1:7">
      <c r="A641" s="50"/>
      <c r="B641" s="50"/>
      <c r="C641" s="440"/>
      <c r="D641" s="50"/>
      <c r="E641" s="211"/>
      <c r="F641" s="50"/>
      <c r="G641" s="50"/>
    </row>
    <row r="642" spans="1:7">
      <c r="C642" s="402"/>
    </row>
    <row r="643" spans="1:7">
      <c r="C643" s="402"/>
    </row>
    <row r="644" spans="1:7">
      <c r="C644" s="402"/>
    </row>
    <row r="645" spans="1:7">
      <c r="C645" s="402"/>
    </row>
    <row r="646" spans="1:7">
      <c r="A646" s="83"/>
      <c r="B646" s="84"/>
      <c r="C646" s="438"/>
      <c r="D646" s="84"/>
      <c r="E646" s="210"/>
      <c r="F646" s="84"/>
      <c r="G646" s="84"/>
    </row>
    <row r="647" spans="1:7">
      <c r="C647" s="402"/>
    </row>
    <row r="648" spans="1:7">
      <c r="A648" s="50"/>
      <c r="B648" s="50"/>
      <c r="C648" s="440"/>
      <c r="D648" s="50"/>
      <c r="E648" s="211"/>
      <c r="F648" s="50"/>
      <c r="G648" s="50"/>
    </row>
    <row r="649" spans="1:7">
      <c r="C649" s="402"/>
    </row>
    <row r="650" spans="1:7">
      <c r="C650" s="402"/>
    </row>
    <row r="651" spans="1:7">
      <c r="C651" s="402"/>
    </row>
    <row r="652" spans="1:7">
      <c r="C652" s="402"/>
    </row>
    <row r="653" spans="1:7">
      <c r="C653" s="402"/>
    </row>
    <row r="654" spans="1:7">
      <c r="A654" s="83"/>
      <c r="B654" s="85"/>
      <c r="C654" s="438"/>
      <c r="D654" s="85"/>
      <c r="E654" s="212"/>
      <c r="F654" s="85"/>
      <c r="G654" s="85"/>
    </row>
    <row r="655" spans="1:7">
      <c r="C655" s="402"/>
    </row>
    <row r="656" spans="1:7">
      <c r="C656" s="402"/>
    </row>
    <row r="657" spans="1:7">
      <c r="A657" s="179"/>
      <c r="B657" s="178"/>
      <c r="C657" s="445"/>
      <c r="D657" s="178"/>
      <c r="E657" s="216"/>
      <c r="F657" s="178"/>
      <c r="G657" s="178"/>
    </row>
    <row r="658" spans="1:7">
      <c r="A658" s="50"/>
      <c r="C658" s="402"/>
    </row>
    <row r="659" spans="1:7">
      <c r="A659" s="179"/>
      <c r="B659" s="178"/>
      <c r="C659" s="445"/>
      <c r="D659" s="178"/>
      <c r="E659" s="216"/>
      <c r="F659" s="178"/>
      <c r="G659" s="178"/>
    </row>
    <row r="660" spans="1:7">
      <c r="C660" s="402"/>
    </row>
    <row r="661" spans="1:7">
      <c r="C661" s="402"/>
    </row>
    <row r="662" spans="1:7">
      <c r="C662" s="402"/>
    </row>
    <row r="663" spans="1:7">
      <c r="C663" s="402"/>
    </row>
    <row r="664" spans="1:7">
      <c r="C664" s="402"/>
    </row>
    <row r="665" spans="1:7">
      <c r="A665" s="50"/>
      <c r="B665" s="84"/>
      <c r="C665" s="438"/>
      <c r="D665" s="84"/>
      <c r="E665" s="210"/>
      <c r="F665" s="84"/>
      <c r="G665" s="84"/>
    </row>
    <row r="666" spans="1:7">
      <c r="C666" s="402"/>
    </row>
    <row r="667" spans="1:7">
      <c r="A667" s="179"/>
      <c r="B667" s="178"/>
      <c r="C667" s="445"/>
      <c r="D667" s="178"/>
      <c r="E667" s="216"/>
      <c r="F667" s="178"/>
      <c r="G667" s="178"/>
    </row>
    <row r="668" spans="1:7">
      <c r="C668" s="402"/>
    </row>
    <row r="669" spans="1:7">
      <c r="C669" s="402"/>
    </row>
    <row r="670" spans="1:7">
      <c r="C670" s="402"/>
    </row>
    <row r="671" spans="1:7">
      <c r="C671" s="402"/>
    </row>
    <row r="672" spans="1:7">
      <c r="A672" s="83"/>
      <c r="B672" s="84"/>
      <c r="C672" s="438"/>
      <c r="D672" s="84"/>
      <c r="E672" s="210"/>
      <c r="F672" s="84"/>
      <c r="G672" s="84"/>
    </row>
    <row r="673" spans="1:7">
      <c r="C673" s="402"/>
    </row>
    <row r="674" spans="1:7">
      <c r="A674" s="179"/>
      <c r="B674" s="178"/>
      <c r="C674" s="445"/>
      <c r="D674" s="178"/>
      <c r="E674" s="216"/>
      <c r="F674" s="178"/>
      <c r="G674" s="178"/>
    </row>
    <row r="675" spans="1:7">
      <c r="C675" s="402"/>
    </row>
    <row r="676" spans="1:7">
      <c r="C676" s="402"/>
    </row>
    <row r="677" spans="1:7">
      <c r="C677" s="402"/>
    </row>
    <row r="678" spans="1:7">
      <c r="C678" s="402"/>
    </row>
    <row r="679" spans="1:7">
      <c r="A679" s="83"/>
      <c r="B679" s="84"/>
      <c r="C679" s="438"/>
      <c r="D679" s="84"/>
      <c r="E679" s="210"/>
      <c r="F679" s="84"/>
      <c r="G679" s="84"/>
    </row>
    <row r="680" spans="1:7">
      <c r="C680" s="402"/>
    </row>
    <row r="681" spans="1:7">
      <c r="A681" s="179"/>
      <c r="B681" s="178"/>
      <c r="C681" s="445"/>
      <c r="D681" s="178"/>
      <c r="E681" s="216"/>
      <c r="F681" s="178"/>
      <c r="G681" s="178"/>
    </row>
    <row r="682" spans="1:7">
      <c r="C682" s="402"/>
    </row>
    <row r="683" spans="1:7">
      <c r="C683" s="402"/>
    </row>
    <row r="684" spans="1:7">
      <c r="C684" s="402"/>
    </row>
    <row r="685" spans="1:7">
      <c r="C685" s="402"/>
    </row>
    <row r="686" spans="1:7">
      <c r="A686" s="83"/>
      <c r="B686" s="84"/>
      <c r="C686" s="438"/>
      <c r="D686" s="84"/>
      <c r="E686" s="210"/>
      <c r="F686" s="84"/>
      <c r="G686" s="84"/>
    </row>
    <row r="687" spans="1:7">
      <c r="C687" s="402"/>
    </row>
    <row r="688" spans="1:7">
      <c r="A688" s="179"/>
      <c r="B688" s="178"/>
      <c r="C688" s="445"/>
      <c r="D688" s="178"/>
      <c r="E688" s="216"/>
      <c r="F688" s="178"/>
      <c r="G688" s="178"/>
    </row>
    <row r="689" spans="1:7">
      <c r="C689" s="402"/>
    </row>
    <row r="690" spans="1:7">
      <c r="C690" s="402"/>
    </row>
    <row r="691" spans="1:7">
      <c r="C691" s="402"/>
    </row>
    <row r="692" spans="1:7">
      <c r="C692" s="402"/>
    </row>
    <row r="693" spans="1:7">
      <c r="C693" s="402"/>
    </row>
    <row r="694" spans="1:7">
      <c r="A694" s="83"/>
      <c r="B694" s="85"/>
      <c r="C694" s="438"/>
      <c r="D694" s="85"/>
      <c r="E694" s="212"/>
      <c r="F694" s="85"/>
      <c r="G694" s="85"/>
    </row>
    <row r="695" spans="1:7">
      <c r="C695" s="402"/>
    </row>
    <row r="696" spans="1:7">
      <c r="C696" s="402"/>
    </row>
    <row r="697" spans="1:7">
      <c r="A697" s="179"/>
      <c r="B697" s="178"/>
      <c r="C697" s="445"/>
      <c r="D697" s="178"/>
      <c r="E697" s="216"/>
      <c r="F697" s="178"/>
      <c r="G697" s="178"/>
    </row>
    <row r="698" spans="1:7">
      <c r="A698" s="50"/>
      <c r="C698" s="402"/>
    </row>
    <row r="699" spans="1:7">
      <c r="A699" s="179"/>
      <c r="B699" s="178"/>
      <c r="C699" s="445"/>
      <c r="D699" s="178"/>
      <c r="E699" s="216"/>
      <c r="F699" s="178"/>
      <c r="G699" s="178"/>
    </row>
    <row r="700" spans="1:7">
      <c r="C700" s="402"/>
    </row>
    <row r="701" spans="1:7">
      <c r="C701" s="402"/>
    </row>
    <row r="702" spans="1:7">
      <c r="C702" s="402"/>
    </row>
    <row r="703" spans="1:7">
      <c r="C703" s="402"/>
    </row>
    <row r="704" spans="1:7">
      <c r="C704" s="402"/>
    </row>
    <row r="705" spans="1:7">
      <c r="A705" s="50"/>
      <c r="B705" s="84"/>
      <c r="C705" s="438"/>
      <c r="D705" s="84"/>
      <c r="E705" s="210"/>
      <c r="F705" s="84"/>
      <c r="G705" s="84"/>
    </row>
    <row r="706" spans="1:7">
      <c r="C706" s="402"/>
    </row>
    <row r="707" spans="1:7">
      <c r="A707" s="179"/>
      <c r="B707" s="178"/>
      <c r="C707" s="445"/>
      <c r="D707" s="178"/>
      <c r="E707" s="216"/>
      <c r="F707" s="178"/>
      <c r="G707" s="178"/>
    </row>
    <row r="708" spans="1:7">
      <c r="C708" s="402"/>
    </row>
    <row r="709" spans="1:7">
      <c r="C709" s="402"/>
    </row>
    <row r="710" spans="1:7">
      <c r="C710" s="402"/>
    </row>
    <row r="711" spans="1:7">
      <c r="C711" s="402"/>
    </row>
    <row r="712" spans="1:7">
      <c r="A712" s="83"/>
      <c r="B712" s="84"/>
      <c r="C712" s="438"/>
      <c r="D712" s="84"/>
      <c r="E712" s="210"/>
      <c r="F712" s="84"/>
      <c r="G712" s="84"/>
    </row>
    <row r="713" spans="1:7">
      <c r="C713" s="402"/>
    </row>
    <row r="714" spans="1:7">
      <c r="A714" s="179"/>
      <c r="B714" s="178"/>
      <c r="C714" s="445"/>
      <c r="D714" s="178"/>
      <c r="E714" s="216"/>
      <c r="F714" s="178"/>
      <c r="G714" s="178"/>
    </row>
    <row r="715" spans="1:7">
      <c r="C715" s="402"/>
    </row>
    <row r="716" spans="1:7">
      <c r="C716" s="402"/>
    </row>
    <row r="717" spans="1:7">
      <c r="C717" s="402"/>
    </row>
    <row r="718" spans="1:7">
      <c r="C718" s="402"/>
    </row>
    <row r="719" spans="1:7">
      <c r="A719" s="83"/>
      <c r="B719" s="84"/>
      <c r="C719" s="438"/>
      <c r="D719" s="84"/>
      <c r="E719" s="210"/>
      <c r="F719" s="84"/>
      <c r="G719" s="84"/>
    </row>
    <row r="720" spans="1:7">
      <c r="C720" s="402"/>
    </row>
    <row r="721" spans="1:7">
      <c r="A721" s="179"/>
      <c r="B721" s="178"/>
      <c r="C721" s="445"/>
      <c r="D721" s="178"/>
      <c r="E721" s="216"/>
      <c r="F721" s="178"/>
      <c r="G721" s="178"/>
    </row>
    <row r="722" spans="1:7">
      <c r="C722" s="402"/>
    </row>
    <row r="723" spans="1:7">
      <c r="C723" s="402"/>
    </row>
    <row r="724" spans="1:7">
      <c r="C724" s="402"/>
    </row>
    <row r="725" spans="1:7">
      <c r="C725" s="402"/>
    </row>
    <row r="726" spans="1:7">
      <c r="A726" s="83"/>
      <c r="B726" s="84"/>
      <c r="C726" s="438"/>
      <c r="D726" s="84"/>
      <c r="E726" s="210"/>
      <c r="F726" s="84"/>
      <c r="G726" s="84"/>
    </row>
    <row r="727" spans="1:7">
      <c r="C727" s="402"/>
    </row>
    <row r="728" spans="1:7">
      <c r="A728" s="179"/>
      <c r="B728" s="178"/>
      <c r="C728" s="445"/>
      <c r="D728" s="178"/>
      <c r="E728" s="216"/>
      <c r="F728" s="178"/>
      <c r="G728" s="178"/>
    </row>
    <row r="729" spans="1:7">
      <c r="C729" s="402"/>
    </row>
    <row r="730" spans="1:7">
      <c r="C730" s="402"/>
    </row>
    <row r="731" spans="1:7">
      <c r="C731" s="402"/>
    </row>
    <row r="732" spans="1:7">
      <c r="C732" s="402"/>
    </row>
    <row r="733" spans="1:7">
      <c r="C733" s="402"/>
    </row>
    <row r="734" spans="1:7">
      <c r="A734" s="83"/>
      <c r="B734" s="85"/>
      <c r="C734" s="438"/>
      <c r="D734" s="85"/>
      <c r="E734" s="212"/>
      <c r="F734" s="85"/>
      <c r="G734" s="85"/>
    </row>
    <row r="735" spans="1:7">
      <c r="C735" s="402"/>
    </row>
    <row r="736" spans="1:7">
      <c r="C736" s="402"/>
    </row>
    <row r="737" spans="1:7">
      <c r="C737" s="402"/>
    </row>
    <row r="738" spans="1:7">
      <c r="A738" s="179"/>
      <c r="B738" s="178"/>
      <c r="C738" s="445"/>
      <c r="D738" s="178"/>
      <c r="E738" s="216"/>
      <c r="F738" s="178"/>
      <c r="G738" s="178"/>
    </row>
    <row r="739" spans="1:7">
      <c r="A739" s="50"/>
      <c r="C739" s="402"/>
    </row>
    <row r="740" spans="1:7">
      <c r="A740" s="179"/>
      <c r="B740" s="178"/>
      <c r="C740" s="445"/>
      <c r="D740" s="178"/>
      <c r="E740" s="216"/>
      <c r="F740" s="178"/>
      <c r="G740" s="178"/>
    </row>
    <row r="741" spans="1:7">
      <c r="C741" s="402"/>
    </row>
    <row r="742" spans="1:7">
      <c r="C742" s="402"/>
    </row>
    <row r="743" spans="1:7">
      <c r="C743" s="402"/>
    </row>
    <row r="744" spans="1:7">
      <c r="C744" s="402"/>
    </row>
    <row r="745" spans="1:7">
      <c r="C745" s="402"/>
    </row>
    <row r="746" spans="1:7">
      <c r="A746" s="50"/>
      <c r="B746" s="84"/>
      <c r="C746" s="438"/>
      <c r="D746" s="84"/>
      <c r="E746" s="210"/>
      <c r="F746" s="84"/>
      <c r="G746" s="84"/>
    </row>
    <row r="747" spans="1:7">
      <c r="C747" s="402"/>
    </row>
    <row r="748" spans="1:7">
      <c r="A748" s="179"/>
      <c r="B748" s="178"/>
      <c r="C748" s="445"/>
      <c r="D748" s="178"/>
      <c r="E748" s="216"/>
      <c r="F748" s="178"/>
      <c r="G748" s="178"/>
    </row>
    <row r="749" spans="1:7">
      <c r="C749" s="402"/>
    </row>
    <row r="750" spans="1:7">
      <c r="C750" s="402"/>
    </row>
    <row r="751" spans="1:7">
      <c r="C751" s="402"/>
    </row>
    <row r="752" spans="1:7">
      <c r="C752" s="402"/>
    </row>
    <row r="753" spans="1:7">
      <c r="A753" s="83"/>
      <c r="B753" s="84"/>
      <c r="C753" s="438"/>
      <c r="D753" s="84"/>
      <c r="E753" s="210"/>
      <c r="F753" s="84"/>
      <c r="G753" s="84"/>
    </row>
    <row r="754" spans="1:7">
      <c r="C754" s="402"/>
    </row>
    <row r="755" spans="1:7">
      <c r="A755" s="179"/>
      <c r="B755" s="178"/>
      <c r="C755" s="445"/>
      <c r="D755" s="178"/>
      <c r="E755" s="216"/>
      <c r="F755" s="178"/>
      <c r="G755" s="178"/>
    </row>
    <row r="756" spans="1:7">
      <c r="C756" s="402"/>
    </row>
    <row r="757" spans="1:7">
      <c r="C757" s="402"/>
    </row>
    <row r="758" spans="1:7">
      <c r="C758" s="402"/>
    </row>
    <row r="759" spans="1:7">
      <c r="C759" s="402"/>
    </row>
    <row r="760" spans="1:7">
      <c r="A760" s="83"/>
      <c r="B760" s="84"/>
      <c r="C760" s="438"/>
      <c r="D760" s="84"/>
      <c r="E760" s="210"/>
      <c r="F760" s="84"/>
      <c r="G760" s="84"/>
    </row>
    <row r="761" spans="1:7">
      <c r="C761" s="402"/>
    </row>
    <row r="762" spans="1:7">
      <c r="A762" s="179"/>
      <c r="B762" s="178"/>
      <c r="C762" s="445"/>
      <c r="D762" s="178"/>
      <c r="E762" s="216"/>
      <c r="F762" s="178"/>
      <c r="G762" s="178"/>
    </row>
    <row r="763" spans="1:7">
      <c r="C763" s="402"/>
    </row>
    <row r="764" spans="1:7">
      <c r="C764" s="402"/>
    </row>
    <row r="765" spans="1:7">
      <c r="C765" s="402"/>
    </row>
    <row r="766" spans="1:7">
      <c r="C766" s="402"/>
    </row>
    <row r="767" spans="1:7">
      <c r="A767" s="83"/>
      <c r="B767" s="84"/>
      <c r="C767" s="438"/>
      <c r="D767" s="84"/>
      <c r="E767" s="210"/>
      <c r="F767" s="84"/>
      <c r="G767" s="84"/>
    </row>
    <row r="768" spans="1:7">
      <c r="C768" s="402"/>
    </row>
    <row r="769" spans="1:7">
      <c r="A769" s="179"/>
      <c r="B769" s="178"/>
      <c r="C769" s="445"/>
      <c r="D769" s="178"/>
      <c r="E769" s="216"/>
      <c r="F769" s="178"/>
      <c r="G769" s="178"/>
    </row>
    <row r="770" spans="1:7">
      <c r="C770" s="402"/>
    </row>
    <row r="771" spans="1:7">
      <c r="C771" s="402"/>
    </row>
    <row r="772" spans="1:7">
      <c r="C772" s="402"/>
    </row>
    <row r="773" spans="1:7">
      <c r="C773" s="402"/>
    </row>
    <row r="774" spans="1:7">
      <c r="C774" s="402"/>
    </row>
    <row r="775" spans="1:7">
      <c r="A775" s="83"/>
      <c r="B775" s="85"/>
      <c r="C775" s="438"/>
      <c r="D775" s="85"/>
      <c r="E775" s="212"/>
      <c r="F775" s="85"/>
      <c r="G775" s="85"/>
    </row>
    <row r="776" spans="1:7">
      <c r="C776" s="402"/>
    </row>
    <row r="777" spans="1:7">
      <c r="C777" s="402"/>
    </row>
    <row r="778" spans="1:7">
      <c r="A778" s="83"/>
      <c r="B778" s="84"/>
      <c r="C778" s="438"/>
      <c r="D778" s="84"/>
      <c r="E778" s="210"/>
      <c r="F778" s="84"/>
      <c r="G778" s="84"/>
    </row>
    <row r="779" spans="1:7">
      <c r="A779" s="179"/>
      <c r="B779" s="178"/>
      <c r="C779" s="445"/>
      <c r="D779" s="178"/>
      <c r="E779" s="216"/>
      <c r="F779" s="178"/>
      <c r="G779" s="178"/>
    </row>
    <row r="780" spans="1:7">
      <c r="A780" s="50"/>
      <c r="C780" s="402"/>
    </row>
    <row r="781" spans="1:7">
      <c r="A781" s="179"/>
      <c r="B781" s="178"/>
      <c r="C781" s="445"/>
      <c r="D781" s="178"/>
      <c r="E781" s="216"/>
      <c r="F781" s="178"/>
      <c r="G781" s="178"/>
    </row>
    <row r="782" spans="1:7">
      <c r="C782" s="402"/>
    </row>
    <row r="783" spans="1:7">
      <c r="C783" s="402"/>
    </row>
    <row r="784" spans="1:7">
      <c r="C784" s="402"/>
    </row>
    <row r="785" spans="1:7">
      <c r="C785" s="402"/>
    </row>
    <row r="786" spans="1:7">
      <c r="C786" s="402"/>
    </row>
    <row r="787" spans="1:7">
      <c r="A787" s="50"/>
      <c r="B787" s="84"/>
      <c r="C787" s="438"/>
      <c r="D787" s="84"/>
      <c r="E787" s="210"/>
      <c r="F787" s="84"/>
      <c r="G787" s="84"/>
    </row>
    <row r="788" spans="1:7">
      <c r="C788" s="402"/>
    </row>
    <row r="789" spans="1:7">
      <c r="A789" s="179"/>
      <c r="B789" s="178"/>
      <c r="C789" s="445"/>
      <c r="D789" s="178"/>
      <c r="E789" s="216"/>
      <c r="F789" s="178"/>
      <c r="G789" s="178"/>
    </row>
    <row r="790" spans="1:7">
      <c r="C790" s="402"/>
    </row>
    <row r="791" spans="1:7">
      <c r="C791" s="402"/>
    </row>
    <row r="792" spans="1:7">
      <c r="C792" s="402"/>
    </row>
    <row r="793" spans="1:7">
      <c r="C793" s="402"/>
    </row>
    <row r="794" spans="1:7">
      <c r="A794" s="83"/>
      <c r="B794" s="84"/>
      <c r="C794" s="438"/>
      <c r="D794" s="84"/>
      <c r="E794" s="210"/>
      <c r="F794" s="84"/>
      <c r="G794" s="84"/>
    </row>
    <row r="795" spans="1:7">
      <c r="C795" s="402"/>
    </row>
    <row r="796" spans="1:7">
      <c r="A796" s="179"/>
      <c r="B796" s="178"/>
      <c r="C796" s="445"/>
      <c r="D796" s="178"/>
      <c r="E796" s="216"/>
      <c r="F796" s="178"/>
      <c r="G796" s="178"/>
    </row>
    <row r="797" spans="1:7">
      <c r="C797" s="402"/>
    </row>
    <row r="798" spans="1:7">
      <c r="C798" s="402"/>
    </row>
    <row r="799" spans="1:7">
      <c r="C799" s="402"/>
    </row>
    <row r="800" spans="1:7">
      <c r="C800" s="402"/>
    </row>
    <row r="801" spans="1:7">
      <c r="A801" s="83"/>
      <c r="B801" s="84"/>
      <c r="C801" s="438"/>
      <c r="D801" s="84"/>
      <c r="E801" s="210"/>
      <c r="F801" s="84"/>
      <c r="G801" s="84"/>
    </row>
    <row r="802" spans="1:7">
      <c r="C802" s="402"/>
    </row>
    <row r="803" spans="1:7">
      <c r="A803" s="179"/>
      <c r="B803" s="178"/>
      <c r="C803" s="445"/>
      <c r="D803" s="178"/>
      <c r="E803" s="216"/>
      <c r="F803" s="178"/>
      <c r="G803" s="178"/>
    </row>
    <row r="804" spans="1:7">
      <c r="C804" s="402"/>
    </row>
    <row r="805" spans="1:7">
      <c r="C805" s="402"/>
    </row>
    <row r="806" spans="1:7">
      <c r="C806" s="402"/>
    </row>
    <row r="807" spans="1:7">
      <c r="C807" s="402"/>
    </row>
    <row r="808" spans="1:7">
      <c r="A808" s="83"/>
      <c r="B808" s="84"/>
      <c r="C808" s="438"/>
      <c r="D808" s="84"/>
      <c r="E808" s="210"/>
      <c r="F808" s="84"/>
      <c r="G808" s="84"/>
    </row>
    <row r="809" spans="1:7">
      <c r="C809" s="402"/>
    </row>
    <row r="810" spans="1:7">
      <c r="A810" s="179"/>
      <c r="B810" s="178"/>
      <c r="C810" s="445"/>
      <c r="D810" s="178"/>
      <c r="E810" s="216"/>
      <c r="F810" s="178"/>
      <c r="G810" s="178"/>
    </row>
    <row r="811" spans="1:7">
      <c r="C811" s="402"/>
    </row>
    <row r="812" spans="1:7">
      <c r="C812" s="402"/>
    </row>
    <row r="813" spans="1:7">
      <c r="C813" s="402"/>
    </row>
    <row r="814" spans="1:7">
      <c r="C814" s="402"/>
    </row>
    <row r="815" spans="1:7">
      <c r="C815" s="402"/>
    </row>
    <row r="816" spans="1:7">
      <c r="A816" s="83"/>
      <c r="B816" s="85"/>
      <c r="C816" s="438"/>
      <c r="D816" s="85"/>
      <c r="E816" s="212"/>
      <c r="F816" s="85"/>
      <c r="G816" s="85"/>
    </row>
    <row r="817" spans="1:7">
      <c r="C817" s="402"/>
    </row>
    <row r="818" spans="1:7">
      <c r="A818" s="50"/>
      <c r="B818" s="50"/>
      <c r="C818" s="440"/>
      <c r="D818" s="50"/>
      <c r="E818" s="211"/>
      <c r="F818" s="50"/>
      <c r="G818" s="50"/>
    </row>
    <row r="819" spans="1:7">
      <c r="A819" s="179"/>
      <c r="B819" s="178"/>
      <c r="C819" s="445"/>
      <c r="D819" s="178"/>
      <c r="E819" s="216"/>
      <c r="F819" s="178"/>
      <c r="G819" s="178"/>
    </row>
    <row r="820" spans="1:7">
      <c r="A820" s="50"/>
      <c r="C820" s="402"/>
    </row>
    <row r="821" spans="1:7">
      <c r="A821" s="179"/>
      <c r="B821" s="178"/>
      <c r="C821" s="445"/>
      <c r="D821" s="178"/>
      <c r="E821" s="216"/>
      <c r="F821" s="178"/>
      <c r="G821" s="178"/>
    </row>
    <row r="822" spans="1:7">
      <c r="C822" s="402"/>
    </row>
    <row r="823" spans="1:7">
      <c r="C823" s="402"/>
    </row>
    <row r="824" spans="1:7">
      <c r="C824" s="402"/>
    </row>
    <row r="825" spans="1:7">
      <c r="C825" s="402"/>
    </row>
    <row r="826" spans="1:7">
      <c r="C826" s="402"/>
    </row>
    <row r="827" spans="1:7">
      <c r="A827" s="50"/>
      <c r="B827" s="84"/>
      <c r="C827" s="438"/>
      <c r="D827" s="84"/>
      <c r="E827" s="210"/>
      <c r="F827" s="84"/>
      <c r="G827" s="84"/>
    </row>
    <row r="828" spans="1:7">
      <c r="C828" s="402"/>
    </row>
    <row r="829" spans="1:7">
      <c r="A829" s="179"/>
      <c r="B829" s="178"/>
      <c r="C829" s="445"/>
      <c r="D829" s="178"/>
      <c r="E829" s="216"/>
      <c r="F829" s="178"/>
      <c r="G829" s="178"/>
    </row>
    <row r="830" spans="1:7">
      <c r="C830" s="402"/>
    </row>
    <row r="831" spans="1:7">
      <c r="C831" s="402"/>
    </row>
    <row r="832" spans="1:7">
      <c r="C832" s="402"/>
    </row>
    <row r="833" spans="1:7">
      <c r="C833" s="402"/>
    </row>
    <row r="834" spans="1:7">
      <c r="A834" s="83"/>
      <c r="B834" s="84"/>
      <c r="C834" s="438"/>
      <c r="D834" s="84"/>
      <c r="E834" s="210"/>
      <c r="F834" s="84"/>
      <c r="G834" s="84"/>
    </row>
    <row r="835" spans="1:7">
      <c r="C835" s="402"/>
    </row>
    <row r="836" spans="1:7">
      <c r="A836" s="179"/>
      <c r="B836" s="178"/>
      <c r="C836" s="445"/>
      <c r="D836" s="178"/>
      <c r="E836" s="216"/>
      <c r="F836" s="178"/>
      <c r="G836" s="178"/>
    </row>
    <row r="837" spans="1:7">
      <c r="C837" s="402"/>
    </row>
    <row r="838" spans="1:7">
      <c r="C838" s="402"/>
    </row>
    <row r="839" spans="1:7">
      <c r="C839" s="402"/>
    </row>
    <row r="840" spans="1:7">
      <c r="C840" s="402"/>
    </row>
    <row r="841" spans="1:7">
      <c r="A841" s="83"/>
      <c r="B841" s="84"/>
      <c r="C841" s="438"/>
      <c r="D841" s="84"/>
      <c r="E841" s="210"/>
      <c r="F841" s="84"/>
      <c r="G841" s="84"/>
    </row>
    <row r="842" spans="1:7">
      <c r="C842" s="402"/>
    </row>
    <row r="843" spans="1:7">
      <c r="A843" s="179"/>
      <c r="B843" s="178"/>
      <c r="C843" s="445"/>
      <c r="D843" s="178"/>
      <c r="E843" s="216"/>
      <c r="F843" s="178"/>
      <c r="G843" s="178"/>
    </row>
    <row r="844" spans="1:7">
      <c r="C844" s="402"/>
    </row>
    <row r="845" spans="1:7">
      <c r="C845" s="402"/>
    </row>
    <row r="846" spans="1:7">
      <c r="C846" s="402"/>
    </row>
    <row r="847" spans="1:7">
      <c r="C847" s="402"/>
    </row>
    <row r="848" spans="1:7">
      <c r="A848" s="83"/>
      <c r="B848" s="84"/>
      <c r="C848" s="438"/>
      <c r="D848" s="84"/>
      <c r="E848" s="210"/>
      <c r="F848" s="84"/>
      <c r="G848" s="84"/>
    </row>
    <row r="849" spans="1:7">
      <c r="C849" s="402"/>
    </row>
    <row r="850" spans="1:7">
      <c r="A850" s="179"/>
      <c r="B850" s="178"/>
      <c r="C850" s="445"/>
      <c r="D850" s="178"/>
      <c r="E850" s="216"/>
      <c r="F850" s="178"/>
      <c r="G850" s="178"/>
    </row>
    <row r="851" spans="1:7">
      <c r="C851" s="402"/>
    </row>
    <row r="852" spans="1:7">
      <c r="C852" s="402"/>
    </row>
    <row r="853" spans="1:7">
      <c r="C853" s="402"/>
    </row>
    <row r="854" spans="1:7">
      <c r="C854" s="402"/>
    </row>
    <row r="855" spans="1:7">
      <c r="C855" s="402"/>
    </row>
    <row r="856" spans="1:7">
      <c r="A856" s="83"/>
      <c r="B856" s="85"/>
      <c r="C856" s="438"/>
      <c r="D856" s="85"/>
      <c r="E856" s="212"/>
      <c r="F856" s="85"/>
      <c r="G856" s="85"/>
    </row>
    <row r="857" spans="1:7">
      <c r="C857" s="402"/>
    </row>
    <row r="858" spans="1:7">
      <c r="C858" s="402"/>
    </row>
    <row r="859" spans="1:7">
      <c r="A859" s="179"/>
      <c r="B859" s="178"/>
      <c r="C859" s="445"/>
      <c r="D859" s="178"/>
      <c r="E859" s="216"/>
      <c r="F859" s="178"/>
      <c r="G859" s="178"/>
    </row>
    <row r="860" spans="1:7">
      <c r="A860" s="50"/>
      <c r="C860" s="402"/>
    </row>
    <row r="861" spans="1:7">
      <c r="A861" s="179"/>
      <c r="B861" s="178"/>
      <c r="C861" s="445"/>
      <c r="D861" s="178"/>
      <c r="E861" s="216"/>
      <c r="F861" s="178"/>
      <c r="G861" s="178"/>
    </row>
    <row r="862" spans="1:7">
      <c r="C862" s="402"/>
    </row>
    <row r="863" spans="1:7">
      <c r="C863" s="402"/>
    </row>
    <row r="864" spans="1:7">
      <c r="C864" s="402"/>
    </row>
    <row r="865" spans="1:7">
      <c r="C865" s="402"/>
    </row>
    <row r="866" spans="1:7">
      <c r="C866" s="402"/>
    </row>
    <row r="867" spans="1:7">
      <c r="A867" s="50"/>
      <c r="B867" s="84"/>
      <c r="C867" s="438"/>
      <c r="D867" s="84"/>
      <c r="E867" s="210"/>
      <c r="F867" s="84"/>
      <c r="G867" s="84"/>
    </row>
    <row r="868" spans="1:7">
      <c r="C868" s="402"/>
    </row>
    <row r="869" spans="1:7">
      <c r="A869" s="179"/>
      <c r="B869" s="178"/>
      <c r="C869" s="445"/>
      <c r="D869" s="178"/>
      <c r="E869" s="216"/>
      <c r="F869" s="178"/>
      <c r="G869" s="178"/>
    </row>
    <row r="870" spans="1:7">
      <c r="C870" s="402"/>
    </row>
    <row r="871" spans="1:7">
      <c r="C871" s="402"/>
    </row>
    <row r="872" spans="1:7">
      <c r="C872" s="402"/>
    </row>
    <row r="873" spans="1:7">
      <c r="C873" s="402"/>
    </row>
    <row r="874" spans="1:7">
      <c r="A874" s="83"/>
      <c r="B874" s="84"/>
      <c r="C874" s="438"/>
      <c r="D874" s="84"/>
      <c r="E874" s="210"/>
      <c r="F874" s="84"/>
      <c r="G874" s="84"/>
    </row>
    <row r="875" spans="1:7">
      <c r="C875" s="402"/>
    </row>
    <row r="876" spans="1:7">
      <c r="A876" s="179"/>
      <c r="B876" s="178"/>
      <c r="C876" s="445"/>
      <c r="D876" s="178"/>
      <c r="E876" s="216"/>
      <c r="F876" s="178"/>
      <c r="G876" s="178"/>
    </row>
    <row r="877" spans="1:7">
      <c r="C877" s="402"/>
    </row>
    <row r="878" spans="1:7">
      <c r="C878" s="402"/>
    </row>
    <row r="879" spans="1:7">
      <c r="C879" s="402"/>
    </row>
    <row r="880" spans="1:7">
      <c r="C880" s="402"/>
    </row>
    <row r="881" spans="1:7">
      <c r="A881" s="83"/>
      <c r="B881" s="84"/>
      <c r="C881" s="438"/>
      <c r="D881" s="84"/>
      <c r="E881" s="210"/>
      <c r="F881" s="84"/>
      <c r="G881" s="84"/>
    </row>
    <row r="882" spans="1:7">
      <c r="C882" s="402"/>
    </row>
    <row r="883" spans="1:7">
      <c r="A883" s="179"/>
      <c r="B883" s="178"/>
      <c r="C883" s="445"/>
      <c r="D883" s="178"/>
      <c r="E883" s="216"/>
      <c r="F883" s="178"/>
      <c r="G883" s="178"/>
    </row>
    <row r="884" spans="1:7">
      <c r="C884" s="402"/>
    </row>
    <row r="885" spans="1:7">
      <c r="C885" s="402"/>
    </row>
    <row r="886" spans="1:7">
      <c r="C886" s="402"/>
    </row>
    <row r="887" spans="1:7">
      <c r="C887" s="402"/>
    </row>
    <row r="888" spans="1:7">
      <c r="A888" s="83"/>
      <c r="B888" s="84"/>
      <c r="C888" s="438"/>
      <c r="D888" s="84"/>
      <c r="E888" s="210"/>
      <c r="F888" s="84"/>
      <c r="G888" s="84"/>
    </row>
    <row r="889" spans="1:7">
      <c r="C889" s="402"/>
    </row>
    <row r="890" spans="1:7">
      <c r="A890" s="179"/>
      <c r="B890" s="178"/>
      <c r="C890" s="445"/>
      <c r="D890" s="178"/>
      <c r="E890" s="216"/>
      <c r="F890" s="178"/>
      <c r="G890" s="178"/>
    </row>
    <row r="891" spans="1:7">
      <c r="C891" s="402"/>
    </row>
    <row r="892" spans="1:7">
      <c r="C892" s="402"/>
    </row>
    <row r="893" spans="1:7">
      <c r="C893" s="402"/>
    </row>
    <row r="894" spans="1:7">
      <c r="C894" s="402"/>
    </row>
    <row r="895" spans="1:7">
      <c r="C895" s="402"/>
    </row>
    <row r="896" spans="1:7">
      <c r="A896" s="83"/>
      <c r="B896" s="85"/>
      <c r="C896" s="438"/>
      <c r="D896" s="85"/>
      <c r="E896" s="212"/>
      <c r="F896" s="85"/>
      <c r="G896" s="85"/>
    </row>
    <row r="897" spans="1:7">
      <c r="C897" s="402"/>
    </row>
    <row r="898" spans="1:7">
      <c r="C898" s="402"/>
    </row>
    <row r="899" spans="1:7">
      <c r="A899" s="179"/>
      <c r="B899" s="178"/>
      <c r="C899" s="445"/>
      <c r="D899" s="178"/>
      <c r="E899" s="216"/>
      <c r="F899" s="178"/>
      <c r="G899" s="178"/>
    </row>
    <row r="900" spans="1:7">
      <c r="A900" s="50"/>
      <c r="C900" s="402"/>
    </row>
    <row r="901" spans="1:7">
      <c r="A901" s="179"/>
      <c r="B901" s="178"/>
      <c r="C901" s="445"/>
      <c r="D901" s="178"/>
      <c r="E901" s="216"/>
      <c r="F901" s="178"/>
      <c r="G901" s="178"/>
    </row>
    <row r="902" spans="1:7">
      <c r="C902" s="402"/>
    </row>
    <row r="903" spans="1:7">
      <c r="C903" s="402"/>
    </row>
    <row r="904" spans="1:7">
      <c r="C904" s="402"/>
    </row>
    <row r="905" spans="1:7">
      <c r="C905" s="402"/>
    </row>
    <row r="906" spans="1:7">
      <c r="C906" s="402"/>
    </row>
    <row r="907" spans="1:7">
      <c r="A907" s="50"/>
      <c r="B907" s="84"/>
      <c r="C907" s="438"/>
      <c r="D907" s="84"/>
      <c r="E907" s="210"/>
      <c r="F907" s="84"/>
      <c r="G907" s="84"/>
    </row>
    <row r="908" spans="1:7">
      <c r="C908" s="402"/>
    </row>
    <row r="909" spans="1:7">
      <c r="A909" s="179"/>
      <c r="B909" s="178"/>
      <c r="C909" s="445"/>
      <c r="D909" s="178"/>
      <c r="E909" s="216"/>
      <c r="F909" s="178"/>
      <c r="G909" s="178"/>
    </row>
    <row r="910" spans="1:7">
      <c r="C910" s="402"/>
    </row>
    <row r="911" spans="1:7">
      <c r="C911" s="402"/>
    </row>
    <row r="912" spans="1:7">
      <c r="C912" s="402"/>
    </row>
    <row r="913" spans="1:7">
      <c r="C913" s="402"/>
    </row>
    <row r="914" spans="1:7">
      <c r="A914" s="83"/>
      <c r="B914" s="84"/>
      <c r="C914" s="438"/>
      <c r="D914" s="84"/>
      <c r="E914" s="210"/>
      <c r="F914" s="84"/>
      <c r="G914" s="84"/>
    </row>
    <row r="915" spans="1:7">
      <c r="C915" s="402"/>
    </row>
    <row r="916" spans="1:7">
      <c r="A916" s="179"/>
      <c r="B916" s="178"/>
      <c r="C916" s="445"/>
      <c r="D916" s="178"/>
      <c r="E916" s="216"/>
      <c r="F916" s="178"/>
      <c r="G916" s="178"/>
    </row>
    <row r="917" spans="1:7">
      <c r="C917" s="402"/>
    </row>
    <row r="918" spans="1:7">
      <c r="C918" s="402"/>
    </row>
    <row r="919" spans="1:7">
      <c r="C919" s="402"/>
    </row>
    <row r="920" spans="1:7">
      <c r="C920" s="402"/>
    </row>
    <row r="921" spans="1:7">
      <c r="A921" s="83"/>
      <c r="B921" s="84"/>
      <c r="C921" s="438"/>
      <c r="D921" s="84"/>
      <c r="E921" s="210"/>
      <c r="F921" s="84"/>
      <c r="G921" s="84"/>
    </row>
    <row r="922" spans="1:7">
      <c r="C922" s="402"/>
    </row>
    <row r="923" spans="1:7">
      <c r="A923" s="179"/>
      <c r="B923" s="178"/>
      <c r="C923" s="445"/>
      <c r="D923" s="178"/>
      <c r="E923" s="216"/>
      <c r="F923" s="178"/>
      <c r="G923" s="178"/>
    </row>
    <row r="924" spans="1:7">
      <c r="C924" s="402"/>
    </row>
    <row r="925" spans="1:7">
      <c r="C925" s="402"/>
    </row>
    <row r="926" spans="1:7">
      <c r="C926" s="402"/>
    </row>
    <row r="927" spans="1:7">
      <c r="C927" s="402"/>
    </row>
    <row r="928" spans="1:7">
      <c r="A928" s="83"/>
      <c r="B928" s="84"/>
      <c r="C928" s="438"/>
      <c r="D928" s="84"/>
      <c r="E928" s="210"/>
      <c r="F928" s="84"/>
      <c r="G928" s="84"/>
    </row>
    <row r="929" spans="1:7">
      <c r="C929" s="402"/>
    </row>
    <row r="930" spans="1:7">
      <c r="A930" s="179"/>
      <c r="B930" s="178"/>
      <c r="C930" s="445"/>
      <c r="D930" s="178"/>
      <c r="E930" s="216"/>
      <c r="F930" s="178"/>
      <c r="G930" s="178"/>
    </row>
    <row r="931" spans="1:7">
      <c r="C931" s="402"/>
    </row>
    <row r="932" spans="1:7">
      <c r="C932" s="402"/>
    </row>
    <row r="933" spans="1:7">
      <c r="C933" s="402"/>
    </row>
    <row r="934" spans="1:7">
      <c r="C934" s="402"/>
    </row>
    <row r="935" spans="1:7">
      <c r="C935" s="402"/>
    </row>
    <row r="936" spans="1:7">
      <c r="A936" s="83"/>
      <c r="B936" s="85"/>
      <c r="C936" s="438"/>
      <c r="D936" s="85"/>
      <c r="E936" s="212"/>
      <c r="F936" s="85"/>
      <c r="G936" s="85"/>
    </row>
    <row r="937" spans="1:7">
      <c r="C937" s="402"/>
    </row>
    <row r="938" spans="1:7">
      <c r="C938" s="402"/>
    </row>
    <row r="939" spans="1:7">
      <c r="C939" s="402"/>
    </row>
    <row r="940" spans="1:7">
      <c r="A940" s="179"/>
      <c r="B940" s="178"/>
      <c r="C940" s="445"/>
      <c r="D940" s="178"/>
      <c r="E940" s="216"/>
      <c r="F940" s="178"/>
      <c r="G940" s="178"/>
    </row>
    <row r="941" spans="1:7">
      <c r="A941" s="50"/>
      <c r="C941" s="402"/>
    </row>
    <row r="942" spans="1:7">
      <c r="A942" s="179"/>
      <c r="B942" s="178"/>
      <c r="C942" s="445"/>
      <c r="D942" s="178"/>
      <c r="E942" s="216"/>
      <c r="F942" s="178"/>
      <c r="G942" s="178"/>
    </row>
    <row r="943" spans="1:7">
      <c r="C943" s="402"/>
    </row>
    <row r="944" spans="1:7">
      <c r="C944" s="402"/>
    </row>
    <row r="945" spans="1:7">
      <c r="C945" s="402"/>
    </row>
    <row r="946" spans="1:7">
      <c r="C946" s="402"/>
    </row>
    <row r="947" spans="1:7">
      <c r="C947" s="402"/>
    </row>
    <row r="948" spans="1:7">
      <c r="A948" s="50"/>
      <c r="B948" s="84"/>
      <c r="C948" s="438"/>
      <c r="D948" s="84"/>
      <c r="E948" s="210"/>
      <c r="F948" s="84"/>
      <c r="G948" s="84"/>
    </row>
    <row r="949" spans="1:7">
      <c r="C949" s="402"/>
    </row>
    <row r="950" spans="1:7">
      <c r="A950" s="179"/>
      <c r="B950" s="178"/>
      <c r="C950" s="445"/>
      <c r="D950" s="178"/>
      <c r="E950" s="216"/>
      <c r="F950" s="178"/>
      <c r="G950" s="178"/>
    </row>
    <row r="951" spans="1:7">
      <c r="C951" s="402"/>
    </row>
    <row r="952" spans="1:7">
      <c r="C952" s="402"/>
    </row>
    <row r="953" spans="1:7">
      <c r="C953" s="402"/>
    </row>
    <row r="954" spans="1:7">
      <c r="C954" s="402"/>
    </row>
    <row r="955" spans="1:7">
      <c r="A955" s="83"/>
      <c r="B955" s="84"/>
      <c r="C955" s="438"/>
      <c r="D955" s="84"/>
      <c r="E955" s="210"/>
      <c r="F955" s="84"/>
      <c r="G955" s="84"/>
    </row>
    <row r="956" spans="1:7">
      <c r="C956" s="402"/>
    </row>
    <row r="957" spans="1:7">
      <c r="A957" s="179"/>
      <c r="B957" s="178"/>
      <c r="C957" s="445"/>
      <c r="D957" s="178"/>
      <c r="E957" s="216"/>
      <c r="F957" s="178"/>
      <c r="G957" s="178"/>
    </row>
    <row r="958" spans="1:7">
      <c r="C958" s="402"/>
    </row>
    <row r="959" spans="1:7">
      <c r="C959" s="402"/>
    </row>
    <row r="960" spans="1:7">
      <c r="C960" s="402"/>
    </row>
    <row r="961" spans="1:7">
      <c r="C961" s="402"/>
    </row>
    <row r="962" spans="1:7">
      <c r="A962" s="83"/>
      <c r="B962" s="84"/>
      <c r="C962" s="438"/>
      <c r="D962" s="84"/>
      <c r="E962" s="210"/>
      <c r="F962" s="84"/>
      <c r="G962" s="84"/>
    </row>
    <row r="963" spans="1:7">
      <c r="C963" s="402"/>
    </row>
    <row r="964" spans="1:7">
      <c r="A964" s="179"/>
      <c r="B964" s="178"/>
      <c r="C964" s="445"/>
      <c r="D964" s="178"/>
      <c r="E964" s="216"/>
      <c r="F964" s="178"/>
      <c r="G964" s="178"/>
    </row>
    <row r="965" spans="1:7">
      <c r="C965" s="402"/>
    </row>
    <row r="966" spans="1:7">
      <c r="C966" s="402"/>
    </row>
    <row r="967" spans="1:7">
      <c r="C967" s="402"/>
    </row>
    <row r="968" spans="1:7">
      <c r="C968" s="402"/>
    </row>
    <row r="969" spans="1:7">
      <c r="A969" s="83"/>
      <c r="B969" s="84"/>
      <c r="C969" s="438"/>
      <c r="D969" s="84"/>
      <c r="E969" s="210"/>
      <c r="F969" s="84"/>
      <c r="G969" s="84"/>
    </row>
    <row r="970" spans="1:7">
      <c r="C970" s="402"/>
    </row>
    <row r="971" spans="1:7">
      <c r="A971" s="179"/>
      <c r="B971" s="178"/>
      <c r="C971" s="445"/>
      <c r="D971" s="178"/>
      <c r="E971" s="216"/>
      <c r="F971" s="178"/>
      <c r="G971" s="178"/>
    </row>
    <row r="972" spans="1:7">
      <c r="C972" s="402"/>
    </row>
    <row r="973" spans="1:7">
      <c r="C973" s="402"/>
    </row>
    <row r="974" spans="1:7">
      <c r="C974" s="402"/>
    </row>
    <row r="975" spans="1:7">
      <c r="C975" s="402"/>
    </row>
    <row r="976" spans="1:7">
      <c r="C976" s="402"/>
    </row>
    <row r="977" spans="1:7">
      <c r="A977" s="83"/>
      <c r="B977" s="85"/>
      <c r="C977" s="438"/>
      <c r="D977" s="85"/>
      <c r="E977" s="212"/>
      <c r="F977" s="85"/>
      <c r="G977" s="85"/>
    </row>
    <row r="978" spans="1:7">
      <c r="C978" s="402"/>
    </row>
    <row r="979" spans="1:7">
      <c r="A979" s="179"/>
      <c r="B979" s="178"/>
      <c r="C979" s="445"/>
      <c r="D979" s="178"/>
      <c r="E979" s="216"/>
      <c r="F979" s="178"/>
      <c r="G979" s="178"/>
    </row>
    <row r="980" spans="1:7">
      <c r="A980" s="50"/>
      <c r="C980" s="402"/>
    </row>
    <row r="981" spans="1:7">
      <c r="A981" s="179"/>
      <c r="B981" s="178"/>
      <c r="C981" s="445"/>
      <c r="D981" s="178"/>
      <c r="E981" s="216"/>
      <c r="F981" s="178"/>
      <c r="G981" s="178"/>
    </row>
    <row r="982" spans="1:7">
      <c r="C982" s="402"/>
    </row>
    <row r="983" spans="1:7">
      <c r="C983" s="402"/>
    </row>
    <row r="984" spans="1:7">
      <c r="C984" s="402"/>
    </row>
    <row r="985" spans="1:7">
      <c r="C985" s="402"/>
    </row>
    <row r="986" spans="1:7">
      <c r="C986" s="402"/>
    </row>
    <row r="987" spans="1:7">
      <c r="A987" s="50"/>
      <c r="B987" s="84"/>
      <c r="C987" s="438"/>
      <c r="D987" s="84"/>
      <c r="E987" s="210"/>
      <c r="F987" s="84"/>
      <c r="G987" s="84"/>
    </row>
    <row r="988" spans="1:7">
      <c r="C988" s="402"/>
    </row>
    <row r="989" spans="1:7">
      <c r="A989" s="179"/>
      <c r="B989" s="178"/>
      <c r="C989" s="445"/>
      <c r="D989" s="178"/>
      <c r="E989" s="216"/>
      <c r="F989" s="178"/>
      <c r="G989" s="178"/>
    </row>
    <row r="990" spans="1:7">
      <c r="C990" s="402"/>
    </row>
    <row r="991" spans="1:7">
      <c r="C991" s="402"/>
    </row>
    <row r="992" spans="1:7">
      <c r="C992" s="402"/>
    </row>
    <row r="993" spans="1:7">
      <c r="C993" s="402"/>
    </row>
    <row r="994" spans="1:7">
      <c r="A994" s="83"/>
      <c r="B994" s="84"/>
      <c r="C994" s="438"/>
      <c r="D994" s="84"/>
      <c r="E994" s="210"/>
      <c r="F994" s="84"/>
      <c r="G994" s="84"/>
    </row>
    <row r="995" spans="1:7">
      <c r="C995" s="402"/>
    </row>
    <row r="996" spans="1:7">
      <c r="A996" s="179"/>
      <c r="B996" s="178"/>
      <c r="C996" s="445"/>
      <c r="D996" s="178"/>
      <c r="E996" s="216"/>
      <c r="F996" s="178"/>
      <c r="G996" s="178"/>
    </row>
    <row r="997" spans="1:7">
      <c r="C997" s="402"/>
    </row>
    <row r="998" spans="1:7">
      <c r="C998" s="402"/>
    </row>
    <row r="999" spans="1:7">
      <c r="C999" s="402"/>
    </row>
    <row r="1000" spans="1:7">
      <c r="C1000" s="402"/>
    </row>
    <row r="1001" spans="1:7">
      <c r="A1001" s="83"/>
      <c r="B1001" s="84"/>
      <c r="C1001" s="438"/>
      <c r="D1001" s="84"/>
      <c r="E1001" s="210"/>
      <c r="F1001" s="84"/>
      <c r="G1001" s="84"/>
    </row>
    <row r="1002" spans="1:7">
      <c r="C1002" s="402"/>
    </row>
    <row r="1003" spans="1:7">
      <c r="A1003" s="179"/>
      <c r="B1003" s="178"/>
      <c r="C1003" s="445"/>
      <c r="D1003" s="178"/>
      <c r="E1003" s="216"/>
      <c r="F1003" s="178"/>
      <c r="G1003" s="178"/>
    </row>
    <row r="1004" spans="1:7">
      <c r="C1004" s="402"/>
    </row>
    <row r="1005" spans="1:7">
      <c r="C1005" s="402"/>
    </row>
    <row r="1006" spans="1:7">
      <c r="C1006" s="402"/>
    </row>
    <row r="1007" spans="1:7">
      <c r="C1007" s="402"/>
    </row>
    <row r="1008" spans="1:7">
      <c r="A1008" s="83"/>
      <c r="B1008" s="84"/>
      <c r="C1008" s="438"/>
      <c r="D1008" s="84"/>
      <c r="E1008" s="210"/>
      <c r="F1008" s="84"/>
      <c r="G1008" s="84"/>
    </row>
    <row r="1009" spans="1:7">
      <c r="C1009" s="402"/>
    </row>
    <row r="1010" spans="1:7">
      <c r="A1010" s="179"/>
      <c r="B1010" s="178"/>
      <c r="C1010" s="445"/>
      <c r="D1010" s="178"/>
      <c r="E1010" s="216"/>
      <c r="F1010" s="178"/>
      <c r="G1010" s="178"/>
    </row>
    <row r="1011" spans="1:7">
      <c r="C1011" s="402"/>
    </row>
    <row r="1012" spans="1:7">
      <c r="C1012" s="402"/>
    </row>
    <row r="1013" spans="1:7">
      <c r="C1013" s="402"/>
    </row>
    <row r="1014" spans="1:7">
      <c r="C1014" s="402"/>
    </row>
    <row r="1015" spans="1:7">
      <c r="C1015" s="402"/>
    </row>
    <row r="1016" spans="1:7">
      <c r="A1016" s="83"/>
      <c r="B1016" s="85"/>
      <c r="C1016" s="438"/>
      <c r="D1016" s="85"/>
      <c r="E1016" s="212"/>
      <c r="F1016" s="85"/>
      <c r="G1016" s="85"/>
    </row>
    <row r="1017" spans="1:7">
      <c r="C1017" s="402"/>
    </row>
    <row r="1018" spans="1:7">
      <c r="A1018" s="179"/>
      <c r="B1018" s="178"/>
      <c r="C1018" s="445"/>
      <c r="D1018" s="178"/>
      <c r="E1018" s="216"/>
      <c r="F1018" s="178"/>
      <c r="G1018" s="178"/>
    </row>
    <row r="1019" spans="1:7">
      <c r="A1019" s="50"/>
      <c r="C1019" s="402"/>
    </row>
    <row r="1020" spans="1:7">
      <c r="A1020" s="179"/>
      <c r="B1020" s="178"/>
      <c r="C1020" s="445"/>
      <c r="D1020" s="178"/>
      <c r="E1020" s="216"/>
      <c r="F1020" s="178"/>
      <c r="G1020" s="178"/>
    </row>
    <row r="1021" spans="1:7">
      <c r="C1021" s="402"/>
    </row>
    <row r="1022" spans="1:7">
      <c r="C1022" s="402"/>
    </row>
    <row r="1023" spans="1:7">
      <c r="C1023" s="402"/>
    </row>
    <row r="1024" spans="1:7">
      <c r="C1024" s="402"/>
    </row>
    <row r="1025" spans="1:7">
      <c r="C1025" s="402"/>
    </row>
    <row r="1026" spans="1:7">
      <c r="A1026" s="50"/>
      <c r="B1026" s="84"/>
      <c r="C1026" s="438"/>
      <c r="D1026" s="84"/>
      <c r="E1026" s="210"/>
      <c r="F1026" s="84"/>
      <c r="G1026" s="84"/>
    </row>
    <row r="1027" spans="1:7">
      <c r="C1027" s="402"/>
    </row>
    <row r="1028" spans="1:7">
      <c r="A1028" s="179"/>
      <c r="B1028" s="178"/>
      <c r="C1028" s="445"/>
      <c r="D1028" s="178"/>
      <c r="E1028" s="216"/>
      <c r="F1028" s="178"/>
      <c r="G1028" s="178"/>
    </row>
    <row r="1029" spans="1:7">
      <c r="C1029" s="402"/>
    </row>
    <row r="1030" spans="1:7">
      <c r="C1030" s="402"/>
    </row>
    <row r="1031" spans="1:7">
      <c r="C1031" s="402"/>
    </row>
    <row r="1032" spans="1:7">
      <c r="C1032" s="402"/>
    </row>
    <row r="1033" spans="1:7">
      <c r="A1033" s="83"/>
      <c r="B1033" s="84"/>
      <c r="C1033" s="438"/>
      <c r="D1033" s="84"/>
      <c r="E1033" s="210"/>
      <c r="F1033" s="84"/>
      <c r="G1033" s="84"/>
    </row>
    <row r="1034" spans="1:7">
      <c r="C1034" s="402"/>
    </row>
    <row r="1035" spans="1:7">
      <c r="A1035" s="179"/>
      <c r="B1035" s="178"/>
      <c r="C1035" s="445"/>
      <c r="D1035" s="178"/>
      <c r="E1035" s="216"/>
      <c r="F1035" s="178"/>
      <c r="G1035" s="178"/>
    </row>
    <row r="1036" spans="1:7">
      <c r="C1036" s="402"/>
    </row>
    <row r="1037" spans="1:7">
      <c r="C1037" s="402"/>
    </row>
    <row r="1038" spans="1:7">
      <c r="C1038" s="402"/>
    </row>
    <row r="1039" spans="1:7">
      <c r="C1039" s="402"/>
    </row>
    <row r="1040" spans="1:7">
      <c r="A1040" s="83"/>
      <c r="B1040" s="84"/>
      <c r="C1040" s="438"/>
      <c r="D1040" s="84"/>
      <c r="E1040" s="210"/>
      <c r="F1040" s="84"/>
      <c r="G1040" s="84"/>
    </row>
    <row r="1041" spans="1:7">
      <c r="C1041" s="402"/>
    </row>
    <row r="1042" spans="1:7">
      <c r="A1042" s="179"/>
      <c r="B1042" s="178"/>
      <c r="C1042" s="445"/>
      <c r="D1042" s="178"/>
      <c r="E1042" s="216"/>
      <c r="F1042" s="178"/>
      <c r="G1042" s="178"/>
    </row>
    <row r="1043" spans="1:7">
      <c r="C1043" s="402"/>
    </row>
    <row r="1044" spans="1:7">
      <c r="C1044" s="402"/>
    </row>
    <row r="1045" spans="1:7">
      <c r="C1045" s="402"/>
    </row>
    <row r="1046" spans="1:7">
      <c r="C1046" s="402"/>
    </row>
    <row r="1047" spans="1:7">
      <c r="A1047" s="83"/>
      <c r="B1047" s="84"/>
      <c r="C1047" s="438"/>
      <c r="D1047" s="84"/>
      <c r="E1047" s="210"/>
      <c r="F1047" s="84"/>
      <c r="G1047" s="84"/>
    </row>
    <row r="1048" spans="1:7">
      <c r="C1048" s="402"/>
    </row>
    <row r="1049" spans="1:7">
      <c r="A1049" s="179"/>
      <c r="B1049" s="178"/>
      <c r="C1049" s="445"/>
      <c r="D1049" s="178"/>
      <c r="E1049" s="216"/>
      <c r="F1049" s="178"/>
      <c r="G1049" s="178"/>
    </row>
    <row r="1050" spans="1:7">
      <c r="C1050" s="402"/>
    </row>
    <row r="1051" spans="1:7">
      <c r="C1051" s="402"/>
    </row>
    <row r="1052" spans="1:7">
      <c r="C1052" s="402"/>
    </row>
    <row r="1053" spans="1:7">
      <c r="C1053" s="402"/>
    </row>
    <row r="1054" spans="1:7">
      <c r="C1054" s="402"/>
    </row>
    <row r="1055" spans="1:7">
      <c r="A1055" s="83"/>
      <c r="B1055" s="85"/>
      <c r="C1055" s="438"/>
      <c r="D1055" s="85"/>
      <c r="E1055" s="212"/>
      <c r="F1055" s="85"/>
      <c r="G1055" s="85"/>
    </row>
    <row r="1056" spans="1:7">
      <c r="A1056" s="83"/>
      <c r="B1056" s="85"/>
      <c r="C1056" s="438"/>
      <c r="D1056" s="85"/>
      <c r="E1056" s="212"/>
      <c r="F1056" s="85"/>
      <c r="G1056" s="85"/>
    </row>
    <row r="1057" spans="1:7">
      <c r="A1057" s="179"/>
      <c r="B1057" s="178"/>
      <c r="C1057" s="445"/>
      <c r="D1057" s="178"/>
      <c r="E1057" s="216"/>
      <c r="F1057" s="178"/>
      <c r="G1057" s="178"/>
    </row>
    <row r="1058" spans="1:7">
      <c r="A1058" s="50"/>
      <c r="C1058" s="402"/>
    </row>
    <row r="1059" spans="1:7">
      <c r="A1059" s="179"/>
      <c r="B1059" s="178"/>
      <c r="C1059" s="445"/>
      <c r="D1059" s="178"/>
      <c r="E1059" s="216"/>
      <c r="F1059" s="178"/>
      <c r="G1059" s="178"/>
    </row>
    <row r="1060" spans="1:7">
      <c r="C1060" s="402"/>
    </row>
    <row r="1061" spans="1:7">
      <c r="C1061" s="402"/>
    </row>
    <row r="1062" spans="1:7">
      <c r="C1062" s="402"/>
    </row>
    <row r="1063" spans="1:7">
      <c r="C1063" s="402"/>
    </row>
    <row r="1064" spans="1:7">
      <c r="C1064" s="402"/>
    </row>
    <row r="1065" spans="1:7">
      <c r="A1065" s="50"/>
      <c r="B1065" s="84"/>
      <c r="C1065" s="438"/>
      <c r="D1065" s="84"/>
      <c r="E1065" s="210"/>
      <c r="F1065" s="84"/>
      <c r="G1065" s="84"/>
    </row>
    <row r="1066" spans="1:7">
      <c r="C1066" s="402"/>
    </row>
    <row r="1067" spans="1:7">
      <c r="A1067" s="179"/>
      <c r="B1067" s="178"/>
      <c r="C1067" s="445"/>
      <c r="D1067" s="178"/>
      <c r="E1067" s="216"/>
      <c r="F1067" s="178"/>
      <c r="G1067" s="178"/>
    </row>
    <row r="1068" spans="1:7">
      <c r="C1068" s="402"/>
    </row>
    <row r="1069" spans="1:7">
      <c r="C1069" s="402"/>
    </row>
    <row r="1070" spans="1:7">
      <c r="C1070" s="402"/>
    </row>
    <row r="1071" spans="1:7">
      <c r="C1071" s="402"/>
    </row>
    <row r="1072" spans="1:7">
      <c r="A1072" s="83"/>
      <c r="B1072" s="84"/>
      <c r="C1072" s="438"/>
      <c r="D1072" s="84"/>
      <c r="E1072" s="210"/>
      <c r="F1072" s="84"/>
      <c r="G1072" s="84"/>
    </row>
    <row r="1073" spans="1:7">
      <c r="C1073" s="402"/>
    </row>
    <row r="1074" spans="1:7">
      <c r="A1074" s="179"/>
      <c r="B1074" s="178"/>
      <c r="C1074" s="445"/>
      <c r="D1074" s="178"/>
      <c r="E1074" s="216"/>
      <c r="F1074" s="178"/>
      <c r="G1074" s="178"/>
    </row>
    <row r="1075" spans="1:7">
      <c r="C1075" s="402"/>
    </row>
    <row r="1076" spans="1:7">
      <c r="C1076" s="402"/>
    </row>
    <row r="1077" spans="1:7">
      <c r="C1077" s="402"/>
    </row>
    <row r="1078" spans="1:7">
      <c r="C1078" s="402"/>
    </row>
    <row r="1079" spans="1:7">
      <c r="A1079" s="83"/>
      <c r="B1079" s="84"/>
      <c r="C1079" s="438"/>
      <c r="D1079" s="84"/>
      <c r="E1079" s="210"/>
      <c r="F1079" s="84"/>
      <c r="G1079" s="84"/>
    </row>
    <row r="1080" spans="1:7">
      <c r="C1080" s="402"/>
    </row>
    <row r="1081" spans="1:7">
      <c r="A1081" s="179"/>
      <c r="B1081" s="178"/>
      <c r="C1081" s="445"/>
      <c r="D1081" s="178"/>
      <c r="E1081" s="216"/>
      <c r="F1081" s="178"/>
      <c r="G1081" s="178"/>
    </row>
    <row r="1082" spans="1:7">
      <c r="C1082" s="402"/>
    </row>
    <row r="1083" spans="1:7">
      <c r="C1083" s="402"/>
    </row>
    <row r="1084" spans="1:7">
      <c r="C1084" s="402"/>
    </row>
    <row r="1085" spans="1:7">
      <c r="C1085" s="402"/>
    </row>
    <row r="1086" spans="1:7">
      <c r="A1086" s="83"/>
      <c r="B1086" s="84"/>
      <c r="C1086" s="438"/>
      <c r="D1086" s="84"/>
      <c r="E1086" s="210"/>
      <c r="F1086" s="84"/>
      <c r="G1086" s="84"/>
    </row>
    <row r="1087" spans="1:7">
      <c r="C1087" s="402"/>
    </row>
    <row r="1088" spans="1:7">
      <c r="A1088" s="179"/>
      <c r="B1088" s="178"/>
      <c r="C1088" s="445"/>
      <c r="D1088" s="178"/>
      <c r="E1088" s="216"/>
      <c r="F1088" s="178"/>
      <c r="G1088" s="178"/>
    </row>
    <row r="1089" spans="1:7">
      <c r="C1089" s="402"/>
    </row>
    <row r="1090" spans="1:7">
      <c r="C1090" s="402"/>
    </row>
    <row r="1091" spans="1:7">
      <c r="C1091" s="402"/>
    </row>
    <row r="1092" spans="1:7">
      <c r="C1092" s="402"/>
    </row>
    <row r="1093" spans="1:7">
      <c r="C1093" s="402"/>
    </row>
    <row r="1094" spans="1:7">
      <c r="A1094" s="83"/>
      <c r="B1094" s="85"/>
      <c r="C1094" s="438"/>
      <c r="D1094" s="85"/>
      <c r="E1094" s="212"/>
      <c r="F1094" s="85"/>
      <c r="G1094" s="85"/>
    </row>
  </sheetData>
  <customSheetViews>
    <customSheetView guid="{AE6F0488-1842-4C89-B05F-A836B633FB8F}" scale="75" showPageBreaks="1" hiddenColumns="1" showRuler="0">
      <pane xSplit="1" ySplit="3" topLeftCell="B26" activePane="bottomRight" state="frozen"/>
      <selection pane="bottomRight" activeCell="F34" sqref="F34"/>
      <rowBreaks count="4" manualBreakCount="4">
        <brk id="49" max="16" man="1"/>
        <brk id="54" max="15" man="1"/>
        <brk id="99" max="15" man="1"/>
        <brk id="147" max="15" man="1"/>
      </rowBreaks>
      <colBreaks count="2" manualBreakCount="2">
        <brk id="16" max="196" man="1"/>
        <brk id="17" max="1048575" man="1"/>
      </colBreaks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E27" sqref="E27"/>
      <rowBreaks count="4" manualBreakCount="4">
        <brk id="49" max="16" man="1"/>
        <brk id="53" max="15" man="1"/>
        <brk id="98" max="15" man="1"/>
        <brk id="146" max="15" man="1"/>
      </rowBreaks>
      <colBreaks count="2" manualBreakCount="2">
        <brk id="16" max="196" man="1"/>
        <brk id="17" max="1048575" man="1"/>
      </colBreaks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printArea="1" showRuler="0">
      <pane xSplit="1" ySplit="3" topLeftCell="B209" activePane="bottomRight" state="frozen"/>
      <selection pane="bottomRight" activeCell="F219" sqref="F219"/>
      <rowBreaks count="4" manualBreakCount="4">
        <brk id="49" max="16" man="1"/>
        <brk id="54" max="15" man="1"/>
        <brk id="99" max="15" man="1"/>
        <brk id="147" max="15" man="1"/>
      </rowBreaks>
      <colBreaks count="2" manualBreakCount="2">
        <brk id="16" max="196" man="1"/>
        <brk id="17" max="1048575" man="1"/>
      </colBreaks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60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4" manualBreakCount="4">
    <brk id="57" max="16" man="1"/>
    <brk id="99" max="16" man="1"/>
    <brk id="147" max="16" man="1"/>
    <brk id="195" max="16" man="1"/>
  </rowBreaks>
  <colBreaks count="1" manualBreakCount="1">
    <brk id="17" max="1048575" man="1"/>
  </colBreaks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8" tint="0.79998168889431442"/>
    <pageSetUpPr fitToPage="1"/>
  </sheetPr>
  <dimension ref="A1:Y1526"/>
  <sheetViews>
    <sheetView view="pageBreakPreview" zoomScale="81" zoomScaleNormal="75" zoomScaleSheetLayoutView="81" workbookViewId="0">
      <pane xSplit="1" ySplit="3" topLeftCell="B10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.75"/>
  <cols>
    <col min="1" max="1" width="34.28515625" style="49" customWidth="1"/>
    <col min="2" max="2" width="13.42578125" style="82" customWidth="1"/>
    <col min="3" max="3" width="10.85546875" style="82" customWidth="1"/>
    <col min="4" max="4" width="11.28515625" style="82" customWidth="1"/>
    <col min="5" max="5" width="15.140625" style="209" hidden="1" customWidth="1"/>
    <col min="6" max="6" width="20.140625" style="82" customWidth="1"/>
    <col min="7" max="7" width="18.28515625" style="82" customWidth="1"/>
    <col min="8" max="8" width="20.5703125" style="49" customWidth="1"/>
    <col min="9" max="9" width="17.28515625" style="49" bestFit="1" customWidth="1"/>
    <col min="10" max="10" width="16.5703125" style="49" customWidth="1"/>
    <col min="11" max="11" width="15.85546875" style="49" customWidth="1"/>
    <col min="12" max="12" width="20.42578125" style="49" customWidth="1"/>
    <col min="13" max="13" width="18.5703125" style="49" customWidth="1"/>
    <col min="14" max="14" width="19.5703125" style="49" customWidth="1"/>
    <col min="15" max="15" width="15.42578125" style="49" customWidth="1"/>
    <col min="16" max="16" width="17.28515625" style="49" customWidth="1"/>
    <col min="17" max="17" width="24.140625" style="49" customWidth="1"/>
    <col min="18" max="18" width="4.5703125" style="49" customWidth="1"/>
    <col min="19" max="19" width="15.140625" style="49" customWidth="1"/>
    <col min="20" max="20" width="15" style="49" customWidth="1"/>
    <col min="21" max="21" width="14" style="49" bestFit="1" customWidth="1"/>
    <col min="22" max="22" width="15.5703125" style="49" customWidth="1"/>
    <col min="23" max="24" width="17.28515625" style="49" customWidth="1"/>
    <col min="25" max="16384" width="9.140625" style="49"/>
  </cols>
  <sheetData>
    <row r="1" spans="1:25" ht="15.75" customHeight="1">
      <c r="A1" s="1" t="s">
        <v>174</v>
      </c>
      <c r="B1" s="48"/>
      <c r="C1" s="48"/>
      <c r="D1" s="43"/>
      <c r="E1" s="17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ht="15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89.2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43"/>
      <c r="C4" s="51"/>
      <c r="D4" s="52"/>
      <c r="E4" s="203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25">
      <c r="A5" s="54" t="s">
        <v>10</v>
      </c>
      <c r="B5" s="51"/>
      <c r="C5" s="51"/>
      <c r="D5" s="52"/>
      <c r="E5" s="203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5">
      <c r="A6" s="50"/>
      <c r="B6" s="51"/>
      <c r="C6" s="51"/>
      <c r="D6" s="52"/>
      <c r="E6" s="203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5">
      <c r="A7" s="47" t="str">
        <f>A28</f>
        <v>STATE OF NEVADA</v>
      </c>
      <c r="B7" s="48">
        <f t="shared" ref="B7:Q7" si="0">B37</f>
        <v>0.17</v>
      </c>
      <c r="C7" s="48">
        <f t="shared" si="0"/>
        <v>0</v>
      </c>
      <c r="D7" s="43">
        <f t="shared" si="0"/>
        <v>34069</v>
      </c>
      <c r="E7" s="173"/>
      <c r="F7" s="43">
        <f t="shared" si="0"/>
        <v>3575677929.4941177</v>
      </c>
      <c r="G7" s="53">
        <f t="shared" si="0"/>
        <v>317745.52289999998</v>
      </c>
      <c r="H7" s="53">
        <f t="shared" si="0"/>
        <v>5843806.5627000006</v>
      </c>
      <c r="I7" s="53">
        <f t="shared" si="0"/>
        <v>0</v>
      </c>
      <c r="J7" s="53">
        <f t="shared" si="0"/>
        <v>82943.06</v>
      </c>
      <c r="K7" s="53">
        <f t="shared" si="0"/>
        <v>88.12</v>
      </c>
      <c r="L7" s="53">
        <f t="shared" si="0"/>
        <v>6078697.1456000004</v>
      </c>
      <c r="M7" s="53">
        <f t="shared" si="0"/>
        <v>1659514.2</v>
      </c>
      <c r="N7" s="53">
        <f t="shared" si="0"/>
        <v>4419182.9456000002</v>
      </c>
      <c r="O7" s="53">
        <f t="shared" si="0"/>
        <v>0</v>
      </c>
      <c r="P7" s="53">
        <f>P37</f>
        <v>9990.9500000000007</v>
      </c>
      <c r="Q7" s="53">
        <f t="shared" si="0"/>
        <v>4409191.9956</v>
      </c>
      <c r="W7" s="174" t="s">
        <v>15</v>
      </c>
      <c r="X7" s="284">
        <f>Q30+Q52+Q71+Q83+Q97+Q109+Q121+Q133+Q145+Q157+Q169+Q181+Q193+Q205+Q217+Q229+Q241+Q253</f>
        <v>77218523.230000019</v>
      </c>
      <c r="Y7" s="390" t="s">
        <v>461</v>
      </c>
    </row>
    <row r="8" spans="1:25">
      <c r="A8" s="49" t="str">
        <f>A40</f>
        <v>GENERAL COUNTY</v>
      </c>
      <c r="B8" s="48">
        <f t="shared" ref="B8:Q8" si="1">B59</f>
        <v>0.92870000000000008</v>
      </c>
      <c r="C8" s="48">
        <f t="shared" si="1"/>
        <v>0</v>
      </c>
      <c r="D8" s="43">
        <f t="shared" si="1"/>
        <v>34069</v>
      </c>
      <c r="E8" s="173"/>
      <c r="F8" s="43">
        <f t="shared" si="1"/>
        <v>3575678160.7338648</v>
      </c>
      <c r="G8" s="53">
        <f t="shared" si="1"/>
        <v>1735826.312219</v>
      </c>
      <c r="H8" s="53">
        <f t="shared" si="1"/>
        <v>31924376.940196998</v>
      </c>
      <c r="I8" s="53">
        <f t="shared" si="1"/>
        <v>0</v>
      </c>
      <c r="J8" s="53">
        <f t="shared" si="1"/>
        <v>452915.86</v>
      </c>
      <c r="K8" s="53">
        <f t="shared" si="1"/>
        <v>481.27000000000004</v>
      </c>
      <c r="L8" s="53">
        <f t="shared" si="1"/>
        <v>33207768.662416004</v>
      </c>
      <c r="M8" s="53">
        <f t="shared" si="1"/>
        <v>9172899.0299999975</v>
      </c>
      <c r="N8" s="53">
        <f t="shared" si="1"/>
        <v>24034869.632416002</v>
      </c>
      <c r="O8" s="53">
        <f t="shared" si="1"/>
        <v>0</v>
      </c>
      <c r="P8" s="53">
        <f>P59</f>
        <v>54579.95</v>
      </c>
      <c r="Q8" s="53">
        <f t="shared" si="1"/>
        <v>23980289.682416003</v>
      </c>
      <c r="W8" s="171" t="s">
        <v>16</v>
      </c>
      <c r="X8" s="284">
        <f t="shared" ref="X8:X14" si="2">Q31+Q53+Q72+Q84+Q98+Q110+Q122+Q134+Q146+Q158+Q170+Q182+Q194+Q206+Q218+Q230+Q242+Q254</f>
        <v>3025715.5143959997</v>
      </c>
    </row>
    <row r="9" spans="1:25">
      <c r="A9" s="47" t="str">
        <f>A69</f>
        <v>SCHOOL DISTRICT</v>
      </c>
      <c r="B9" s="48">
        <f t="shared" ref="B9:Q9" si="3">B92</f>
        <v>1.3367</v>
      </c>
      <c r="C9" s="48">
        <f t="shared" si="3"/>
        <v>0</v>
      </c>
      <c r="D9" s="43">
        <f t="shared" si="3"/>
        <v>34069</v>
      </c>
      <c r="E9" s="173"/>
      <c r="F9" s="43">
        <f t="shared" si="3"/>
        <v>3575678342.2000003</v>
      </c>
      <c r="G9" s="53">
        <f t="shared" si="3"/>
        <v>2498415.8771790001</v>
      </c>
      <c r="H9" s="53">
        <f t="shared" si="3"/>
        <v>45949489.558677003</v>
      </c>
      <c r="I9" s="53">
        <f t="shared" si="3"/>
        <v>0</v>
      </c>
      <c r="J9" s="53">
        <f t="shared" si="3"/>
        <v>652180.47999999998</v>
      </c>
      <c r="K9" s="53">
        <f t="shared" si="3"/>
        <v>692.63</v>
      </c>
      <c r="L9" s="53">
        <f t="shared" si="3"/>
        <v>47796417.585856006</v>
      </c>
      <c r="M9" s="53">
        <f t="shared" si="3"/>
        <v>13048654.41</v>
      </c>
      <c r="N9" s="53">
        <f t="shared" si="3"/>
        <v>34747763.175856009</v>
      </c>
      <c r="O9" s="53">
        <f t="shared" si="3"/>
        <v>0</v>
      </c>
      <c r="P9" s="53">
        <f>P92</f>
        <v>78558.23</v>
      </c>
      <c r="Q9" s="53">
        <f t="shared" si="3"/>
        <v>34669204.945856005</v>
      </c>
      <c r="W9" s="171" t="s">
        <v>17</v>
      </c>
      <c r="X9" s="284">
        <f t="shared" si="2"/>
        <v>5555586.5152210016</v>
      </c>
    </row>
    <row r="10" spans="1:25">
      <c r="A10" s="49" t="str">
        <f>A95</f>
        <v>CITY OF FERNLEY</v>
      </c>
      <c r="B10" s="48">
        <f t="shared" ref="B10:Q10" si="4">B104</f>
        <v>0.67500000000000004</v>
      </c>
      <c r="C10" s="48">
        <f t="shared" si="4"/>
        <v>0</v>
      </c>
      <c r="D10" s="43">
        <f t="shared" si="4"/>
        <v>9825</v>
      </c>
      <c r="E10" s="173"/>
      <c r="F10" s="43">
        <f>F104</f>
        <v>1451406696.2422223</v>
      </c>
      <c r="G10" s="53">
        <f t="shared" si="4"/>
        <v>401803.46850000002</v>
      </c>
      <c r="H10" s="53">
        <f t="shared" si="4"/>
        <v>9442864.4962500017</v>
      </c>
      <c r="I10" s="53">
        <f t="shared" si="4"/>
        <v>0</v>
      </c>
      <c r="J10" s="53">
        <f t="shared" si="4"/>
        <v>50322.47</v>
      </c>
      <c r="K10" s="53">
        <f t="shared" si="4"/>
        <v>57.05</v>
      </c>
      <c r="L10" s="53">
        <f t="shared" si="4"/>
        <v>9794402.544750005</v>
      </c>
      <c r="M10" s="53">
        <f t="shared" si="4"/>
        <v>3371118.94</v>
      </c>
      <c r="N10" s="53">
        <f t="shared" si="4"/>
        <v>6423283.6047500027</v>
      </c>
      <c r="O10" s="53">
        <f t="shared" si="4"/>
        <v>0</v>
      </c>
      <c r="P10" s="53">
        <f>P104</f>
        <v>39669.94</v>
      </c>
      <c r="Q10" s="53">
        <f t="shared" si="4"/>
        <v>6383613.6647500023</v>
      </c>
      <c r="S10" s="53">
        <f>SUM(L10:L11)</f>
        <v>10490704.478618005</v>
      </c>
      <c r="T10" s="53">
        <f>SUM(Q10:Q11)</f>
        <v>6982431.7586180028</v>
      </c>
      <c r="W10" s="171" t="s">
        <v>18</v>
      </c>
      <c r="X10" s="284">
        <f t="shared" si="2"/>
        <v>0</v>
      </c>
    </row>
    <row r="11" spans="1:25">
      <c r="A11" s="49" t="str">
        <f>A107</f>
        <v>CITY OF YERINGTON</v>
      </c>
      <c r="B11" s="48">
        <f t="shared" ref="B11:Q11" si="5">B116</f>
        <v>0.40439999999999998</v>
      </c>
      <c r="C11" s="48">
        <f t="shared" si="5"/>
        <v>0</v>
      </c>
      <c r="D11" s="43">
        <f t="shared" si="5"/>
        <v>1557</v>
      </c>
      <c r="E11" s="173"/>
      <c r="F11" s="43">
        <f t="shared" si="5"/>
        <v>172256565.95502475</v>
      </c>
      <c r="G11" s="53">
        <f t="shared" si="5"/>
        <v>56576.298931999998</v>
      </c>
      <c r="H11" s="53">
        <f t="shared" si="5"/>
        <v>641492.21493599995</v>
      </c>
      <c r="I11" s="53">
        <f t="shared" si="5"/>
        <v>0</v>
      </c>
      <c r="J11" s="53">
        <f t="shared" si="5"/>
        <v>1773.42</v>
      </c>
      <c r="K11" s="53">
        <f t="shared" si="5"/>
        <v>6.84</v>
      </c>
      <c r="L11" s="53">
        <f t="shared" si="5"/>
        <v>696301.93386800005</v>
      </c>
      <c r="M11" s="53">
        <f t="shared" si="5"/>
        <v>97483.839999999997</v>
      </c>
      <c r="N11" s="53">
        <f t="shared" si="5"/>
        <v>598818.09386800008</v>
      </c>
      <c r="O11" s="53">
        <f t="shared" si="5"/>
        <v>0</v>
      </c>
      <c r="P11" s="53">
        <f>P116</f>
        <v>0</v>
      </c>
      <c r="Q11" s="53">
        <f t="shared" si="5"/>
        <v>598818.09386800008</v>
      </c>
      <c r="W11" s="285" t="s">
        <v>19</v>
      </c>
      <c r="X11" s="284">
        <f t="shared" si="2"/>
        <v>4666229.7500000019</v>
      </c>
      <c r="Y11" s="390" t="s">
        <v>461</v>
      </c>
    </row>
    <row r="12" spans="1:25">
      <c r="A12" s="47" t="str">
        <f>A119</f>
        <v>CARSON WATER SUBCONSERVANCY DISTRICT</v>
      </c>
      <c r="B12" s="48">
        <f t="shared" ref="B12:Q12" si="6">B128</f>
        <v>0.03</v>
      </c>
      <c r="C12" s="48">
        <f t="shared" si="6"/>
        <v>0</v>
      </c>
      <c r="D12" s="43">
        <f t="shared" si="6"/>
        <v>17360</v>
      </c>
      <c r="E12" s="173"/>
      <c r="F12" s="43">
        <f t="shared" si="6"/>
        <v>1508167682.3466668</v>
      </c>
      <c r="G12" s="53">
        <f t="shared" si="6"/>
        <v>19627.169399999999</v>
      </c>
      <c r="H12" s="53">
        <f t="shared" si="6"/>
        <v>435427.91120000003</v>
      </c>
      <c r="I12" s="53">
        <f t="shared" si="6"/>
        <v>0</v>
      </c>
      <c r="J12" s="53">
        <f t="shared" si="6"/>
        <v>4474</v>
      </c>
      <c r="K12" s="53">
        <f t="shared" si="6"/>
        <v>5.01</v>
      </c>
      <c r="L12" s="53">
        <f t="shared" si="6"/>
        <v>450586.09060000005</v>
      </c>
      <c r="M12" s="53">
        <f t="shared" si="6"/>
        <v>135997.57999999999</v>
      </c>
      <c r="N12" s="53">
        <f t="shared" si="6"/>
        <v>314588.5106000001</v>
      </c>
      <c r="O12" s="53">
        <f t="shared" si="6"/>
        <v>0</v>
      </c>
      <c r="P12" s="53">
        <f>P128</f>
        <v>0</v>
      </c>
      <c r="Q12" s="53">
        <f t="shared" si="6"/>
        <v>314588.5106000001</v>
      </c>
      <c r="S12" s="53">
        <f>SUM(L12:L23)</f>
        <v>29282302.497126997</v>
      </c>
      <c r="T12" s="53">
        <f>SUM(Q12:Q23)</f>
        <v>21113884.287126999</v>
      </c>
      <c r="W12" s="285" t="s">
        <v>20</v>
      </c>
      <c r="X12" s="284">
        <f t="shared" si="2"/>
        <v>688947.66000000015</v>
      </c>
      <c r="Y12" s="390" t="s">
        <v>461</v>
      </c>
    </row>
    <row r="13" spans="1:25">
      <c r="A13" s="47" t="str">
        <f>A131</f>
        <v>CENTRAL LYON COUNTY FIRE DISTRICT</v>
      </c>
      <c r="B13" s="48">
        <f t="shared" ref="B13:Q13" si="7">B140</f>
        <v>0.93430000000000002</v>
      </c>
      <c r="C13" s="48">
        <f t="shared" si="7"/>
        <v>0</v>
      </c>
      <c r="D13" s="43">
        <f t="shared" si="7"/>
        <v>17587</v>
      </c>
      <c r="E13" s="173"/>
      <c r="F13" s="43">
        <f t="shared" si="7"/>
        <v>1518099521.4375811</v>
      </c>
      <c r="G13" s="53">
        <f t="shared" si="7"/>
        <v>618334.57932300004</v>
      </c>
      <c r="H13" s="53">
        <f t="shared" si="7"/>
        <v>13647047.492737999</v>
      </c>
      <c r="I13" s="53">
        <f t="shared" si="7"/>
        <v>0</v>
      </c>
      <c r="J13" s="53">
        <f t="shared" si="7"/>
        <v>140185.79999999999</v>
      </c>
      <c r="K13" s="53">
        <f t="shared" si="7"/>
        <v>156.16999999999999</v>
      </c>
      <c r="L13" s="53">
        <f t="shared" si="7"/>
        <v>14125352.442061001</v>
      </c>
      <c r="M13" s="53">
        <f t="shared" si="7"/>
        <v>4358367.0900000008</v>
      </c>
      <c r="N13" s="53">
        <f t="shared" si="7"/>
        <v>9766985.3520609997</v>
      </c>
      <c r="O13" s="53">
        <f t="shared" si="7"/>
        <v>0</v>
      </c>
      <c r="P13" s="53">
        <f>P140</f>
        <v>0</v>
      </c>
      <c r="Q13" s="53">
        <f t="shared" si="7"/>
        <v>9766985.3520609997</v>
      </c>
      <c r="W13" s="174"/>
      <c r="X13" s="284">
        <f t="shared" si="2"/>
        <v>0</v>
      </c>
    </row>
    <row r="14" spans="1:25">
      <c r="A14" s="49" t="str">
        <f>A143</f>
        <v>CENTRAL LYON VECTOR CONTROL DISTRICT</v>
      </c>
      <c r="B14" s="48">
        <f t="shared" ref="B14:Q14" si="8">B152</f>
        <v>4.4999999999999998E-2</v>
      </c>
      <c r="C14" s="48">
        <f t="shared" si="8"/>
        <v>0</v>
      </c>
      <c r="D14" s="43">
        <f t="shared" si="8"/>
        <v>17249</v>
      </c>
      <c r="E14" s="173"/>
      <c r="F14" s="43">
        <f t="shared" si="8"/>
        <v>1498127179.9744444</v>
      </c>
      <c r="G14" s="53">
        <f t="shared" si="8"/>
        <v>29226.120800000001</v>
      </c>
      <c r="H14" s="53">
        <f t="shared" si="8"/>
        <v>648831.08645000006</v>
      </c>
      <c r="I14" s="53">
        <f t="shared" si="8"/>
        <v>0</v>
      </c>
      <c r="J14" s="53">
        <f t="shared" si="8"/>
        <v>6634.34</v>
      </c>
      <c r="K14" s="53">
        <f t="shared" si="8"/>
        <v>7.52</v>
      </c>
      <c r="L14" s="53">
        <f t="shared" si="8"/>
        <v>671430.38724999991</v>
      </c>
      <c r="M14" s="53">
        <f t="shared" si="8"/>
        <v>260284.07</v>
      </c>
      <c r="N14" s="53">
        <f t="shared" si="8"/>
        <v>411146.31724999996</v>
      </c>
      <c r="O14" s="53">
        <f t="shared" si="8"/>
        <v>0</v>
      </c>
      <c r="P14" s="53">
        <f>P152</f>
        <v>0</v>
      </c>
      <c r="Q14" s="53">
        <f t="shared" si="8"/>
        <v>411146.31724999996</v>
      </c>
      <c r="W14" s="174"/>
      <c r="X14" s="284">
        <f t="shared" si="2"/>
        <v>91155002.669616997</v>
      </c>
    </row>
    <row r="15" spans="1:25">
      <c r="A15" s="55" t="str">
        <f>A155</f>
        <v>FERNLEY SWIMMING POOL DISTRICT</v>
      </c>
      <c r="B15" s="48">
        <f t="shared" ref="B15:Q15" si="9">B164</f>
        <v>0.2</v>
      </c>
      <c r="C15" s="48">
        <f t="shared" si="9"/>
        <v>0</v>
      </c>
      <c r="D15" s="43">
        <f t="shared" si="9"/>
        <v>9925</v>
      </c>
      <c r="E15" s="173"/>
      <c r="F15" s="43">
        <f t="shared" si="9"/>
        <v>1474355305.0600002</v>
      </c>
      <c r="G15" s="53">
        <f t="shared" si="9"/>
        <v>123422.44600000001</v>
      </c>
      <c r="H15" s="53">
        <f t="shared" si="9"/>
        <v>2850357.0219999999</v>
      </c>
      <c r="I15" s="53">
        <f t="shared" si="9"/>
        <v>0</v>
      </c>
      <c r="J15" s="53">
        <f t="shared" si="9"/>
        <v>26024.32</v>
      </c>
      <c r="K15" s="53">
        <f t="shared" si="9"/>
        <v>16.899999999999999</v>
      </c>
      <c r="L15" s="53">
        <f t="shared" si="9"/>
        <v>2947772.048</v>
      </c>
      <c r="M15" s="53">
        <f t="shared" si="9"/>
        <v>887895.64</v>
      </c>
      <c r="N15" s="53">
        <f t="shared" si="9"/>
        <v>2059876.4079999996</v>
      </c>
      <c r="O15" s="53">
        <f t="shared" si="9"/>
        <v>0</v>
      </c>
      <c r="P15" s="53">
        <f>P164</f>
        <v>11754.05</v>
      </c>
      <c r="Q15" s="53">
        <f t="shared" si="9"/>
        <v>2048122.3579999995</v>
      </c>
    </row>
    <row r="16" spans="1:25">
      <c r="A16" s="49" t="str">
        <f>A167</f>
        <v>MASON VALLEY FIRE MAINTENANCE DISTRICT</v>
      </c>
      <c r="B16" s="48">
        <f t="shared" ref="B16:Q16" si="10">B176</f>
        <v>0.38879999999999998</v>
      </c>
      <c r="C16" s="48">
        <f t="shared" si="10"/>
        <v>0</v>
      </c>
      <c r="D16" s="43">
        <f t="shared" si="10"/>
        <v>3281</v>
      </c>
      <c r="E16" s="173"/>
      <c r="F16" s="43">
        <f t="shared" si="10"/>
        <v>220539875.9482716</v>
      </c>
      <c r="G16" s="53">
        <f t="shared" si="10"/>
        <v>106639.880624</v>
      </c>
      <c r="H16" s="53">
        <f t="shared" si="10"/>
        <v>755263.10721599997</v>
      </c>
      <c r="I16" s="53">
        <f t="shared" si="10"/>
        <v>0</v>
      </c>
      <c r="J16" s="53">
        <f t="shared" si="10"/>
        <v>52055.76</v>
      </c>
      <c r="K16" s="53">
        <f t="shared" si="10"/>
        <v>34.21</v>
      </c>
      <c r="L16" s="53">
        <f t="shared" si="10"/>
        <v>809881.43783999991</v>
      </c>
      <c r="M16" s="53">
        <f t="shared" si="10"/>
        <v>128641.06</v>
      </c>
      <c r="N16" s="53">
        <f t="shared" si="10"/>
        <v>681240.37783999997</v>
      </c>
      <c r="O16" s="53">
        <f t="shared" si="10"/>
        <v>0</v>
      </c>
      <c r="P16" s="53">
        <f>P176</f>
        <v>0</v>
      </c>
      <c r="Q16" s="53">
        <f t="shared" si="10"/>
        <v>681240.37783999997</v>
      </c>
    </row>
    <row r="17" spans="1:17">
      <c r="A17" s="49" t="str">
        <f>A179</f>
        <v>MASON VALLEY MOSQUITO DISTRICT</v>
      </c>
      <c r="B17" s="48">
        <f t="shared" ref="B17:Q17" si="11">B188</f>
        <v>8.3799999999999999E-2</v>
      </c>
      <c r="C17" s="48">
        <f t="shared" si="11"/>
        <v>0</v>
      </c>
      <c r="D17" s="43">
        <f t="shared" si="11"/>
        <v>4838</v>
      </c>
      <c r="E17" s="173"/>
      <c r="F17" s="43">
        <f t="shared" si="11"/>
        <v>392834223.08124101</v>
      </c>
      <c r="G17" s="53">
        <f t="shared" si="11"/>
        <v>34708.396588000003</v>
      </c>
      <c r="H17" s="53">
        <f t="shared" si="11"/>
        <v>295715.77423800004</v>
      </c>
      <c r="I17" s="53">
        <f t="shared" si="11"/>
        <v>0</v>
      </c>
      <c r="J17" s="53">
        <f t="shared" si="11"/>
        <v>11598.82</v>
      </c>
      <c r="K17" s="53">
        <f t="shared" si="11"/>
        <v>8.8000000000000007</v>
      </c>
      <c r="L17" s="53">
        <f t="shared" si="11"/>
        <v>318834.15082599997</v>
      </c>
      <c r="M17" s="53">
        <f t="shared" si="11"/>
        <v>42165.97</v>
      </c>
      <c r="N17" s="53">
        <f t="shared" si="11"/>
        <v>276668.180826</v>
      </c>
      <c r="O17" s="53">
        <f t="shared" si="11"/>
        <v>0</v>
      </c>
      <c r="P17" s="53">
        <f>P188</f>
        <v>0</v>
      </c>
      <c r="Q17" s="53">
        <f t="shared" si="11"/>
        <v>276668.180826</v>
      </c>
    </row>
    <row r="18" spans="1:17">
      <c r="A18" s="49" t="str">
        <f>A191</f>
        <v>MASON VALLEY SWIMMING POOL DISTRICT</v>
      </c>
      <c r="B18" s="48">
        <f t="shared" ref="B18:Q18" si="12">B200</f>
        <v>0.1749</v>
      </c>
      <c r="C18" s="48">
        <f t="shared" si="12"/>
        <v>0</v>
      </c>
      <c r="D18" s="43">
        <f t="shared" si="12"/>
        <v>4837</v>
      </c>
      <c r="E18" s="173"/>
      <c r="F18" s="43">
        <f t="shared" si="12"/>
        <v>389691119.57791877</v>
      </c>
      <c r="G18" s="53">
        <f t="shared" si="12"/>
        <v>72428.964370000002</v>
      </c>
      <c r="H18" s="53">
        <f t="shared" si="12"/>
        <v>611726.42310200003</v>
      </c>
      <c r="I18" s="53">
        <f t="shared" si="12"/>
        <v>0</v>
      </c>
      <c r="J18" s="53">
        <f t="shared" si="12"/>
        <v>24207.879999999997</v>
      </c>
      <c r="K18" s="53">
        <f t="shared" si="12"/>
        <v>18.350000000000001</v>
      </c>
      <c r="L18" s="53">
        <f t="shared" si="12"/>
        <v>659965.85747200006</v>
      </c>
      <c r="M18" s="53">
        <f t="shared" si="12"/>
        <v>88004.11</v>
      </c>
      <c r="N18" s="53">
        <f t="shared" si="12"/>
        <v>571961.74747200008</v>
      </c>
      <c r="O18" s="53">
        <f t="shared" si="12"/>
        <v>0</v>
      </c>
      <c r="P18" s="53">
        <f>P200</f>
        <v>0</v>
      </c>
      <c r="Q18" s="53">
        <f t="shared" si="12"/>
        <v>571961.74747200008</v>
      </c>
    </row>
    <row r="19" spans="1:17">
      <c r="A19" s="49" t="str">
        <f>A203</f>
        <v>NO LYON CO FIRE MAINTENANCE DISTRICT</v>
      </c>
      <c r="B19" s="48">
        <f t="shared" ref="B19:Q19" si="13">B212</f>
        <v>0.34620000000000001</v>
      </c>
      <c r="C19" s="48">
        <f t="shared" si="13"/>
        <v>0</v>
      </c>
      <c r="D19" s="43">
        <f t="shared" si="13"/>
        <v>9940</v>
      </c>
      <c r="E19" s="173"/>
      <c r="F19" s="43">
        <f t="shared" si="13"/>
        <v>1478558704.8813229</v>
      </c>
      <c r="G19" s="53">
        <f t="shared" si="13"/>
        <v>214099.40237000003</v>
      </c>
      <c r="H19" s="53">
        <f t="shared" si="13"/>
        <v>4948066.3543499997</v>
      </c>
      <c r="I19" s="53">
        <f t="shared" si="13"/>
        <v>0</v>
      </c>
      <c r="J19" s="53">
        <f t="shared" si="13"/>
        <v>45040.2</v>
      </c>
      <c r="K19" s="53">
        <f t="shared" si="13"/>
        <v>29.26</v>
      </c>
      <c r="L19" s="53">
        <f t="shared" si="13"/>
        <v>5117154.8167199995</v>
      </c>
      <c r="M19" s="53">
        <f t="shared" si="13"/>
        <v>1556087.72</v>
      </c>
      <c r="N19" s="53">
        <f t="shared" si="13"/>
        <v>3561067.0967199993</v>
      </c>
      <c r="O19" s="53">
        <f t="shared" si="13"/>
        <v>0</v>
      </c>
      <c r="P19" s="53">
        <f>P212</f>
        <v>20346.27</v>
      </c>
      <c r="Q19" s="53">
        <f t="shared" si="13"/>
        <v>3540720.8267199993</v>
      </c>
    </row>
    <row r="20" spans="1:17">
      <c r="A20" s="49" t="str">
        <f>A215</f>
        <v>SILVER SPRINGS-STAGECOACH HOSPITAL DIST</v>
      </c>
      <c r="B20" s="48">
        <f t="shared" ref="B20:Q20" si="14">B224</f>
        <v>4.4999999999999998E-2</v>
      </c>
      <c r="C20" s="48">
        <f t="shared" si="14"/>
        <v>0</v>
      </c>
      <c r="D20" s="43">
        <f t="shared" si="14"/>
        <v>7709</v>
      </c>
      <c r="E20" s="173"/>
      <c r="F20" s="43">
        <f t="shared" si="14"/>
        <v>284513139.62444443</v>
      </c>
      <c r="G20" s="53">
        <f t="shared" si="14"/>
        <v>8228.9321500000005</v>
      </c>
      <c r="H20" s="53">
        <f t="shared" si="14"/>
        <v>120691.5478</v>
      </c>
      <c r="I20" s="53">
        <f t="shared" si="14"/>
        <v>0</v>
      </c>
      <c r="J20" s="53">
        <f t="shared" si="14"/>
        <v>3451.55</v>
      </c>
      <c r="K20" s="53">
        <f t="shared" si="14"/>
        <v>0</v>
      </c>
      <c r="L20" s="53">
        <f t="shared" si="14"/>
        <v>125468.92995000001</v>
      </c>
      <c r="M20" s="53">
        <f t="shared" si="14"/>
        <v>35052.589999999997</v>
      </c>
      <c r="N20" s="53">
        <f t="shared" si="14"/>
        <v>90416.339950000009</v>
      </c>
      <c r="O20" s="53">
        <f t="shared" si="14"/>
        <v>0</v>
      </c>
      <c r="P20" s="53">
        <f>P224</f>
        <v>0</v>
      </c>
      <c r="Q20" s="53">
        <f t="shared" si="14"/>
        <v>90416.339950000009</v>
      </c>
    </row>
    <row r="21" spans="1:17">
      <c r="A21" s="49" t="str">
        <f>A227</f>
        <v>SMITH VALLEY FIRE MAINTENANCE DISTRICT</v>
      </c>
      <c r="B21" s="48">
        <f t="shared" ref="B21:O21" si="15">B236</f>
        <v>0.53369999999999995</v>
      </c>
      <c r="C21" s="48">
        <f t="shared" si="15"/>
        <v>0</v>
      </c>
      <c r="D21" s="43">
        <f t="shared" si="15"/>
        <v>1553</v>
      </c>
      <c r="E21" s="173"/>
      <c r="F21" s="43">
        <f t="shared" ref="F21:N21" si="16">F236</f>
        <v>158125922.64161703</v>
      </c>
      <c r="G21" s="18">
        <f t="shared" si="16"/>
        <v>42044.965992999998</v>
      </c>
      <c r="H21" s="18">
        <f t="shared" si="16"/>
        <v>805724.96675699996</v>
      </c>
      <c r="I21" s="18">
        <f t="shared" si="16"/>
        <v>0</v>
      </c>
      <c r="J21" s="18">
        <f t="shared" si="16"/>
        <v>5998.5</v>
      </c>
      <c r="K21" s="18">
        <f t="shared" si="16"/>
        <v>86.23</v>
      </c>
      <c r="L21" s="18">
        <f t="shared" si="16"/>
        <v>841857.66275000013</v>
      </c>
      <c r="M21" s="18">
        <f t="shared" si="16"/>
        <v>214371.94</v>
      </c>
      <c r="N21" s="503">
        <f t="shared" si="16"/>
        <v>627485.72275000019</v>
      </c>
      <c r="O21" s="53">
        <f t="shared" si="15"/>
        <v>0</v>
      </c>
      <c r="P21" s="53">
        <f>P236</f>
        <v>0</v>
      </c>
      <c r="Q21" s="53">
        <f>Q236</f>
        <v>627485.72275000019</v>
      </c>
    </row>
    <row r="22" spans="1:17">
      <c r="A22" s="49" t="str">
        <f>A239</f>
        <v>SOUTH LYON COUNTY HOSPITAL DISTRICT</v>
      </c>
      <c r="B22" s="48">
        <f t="shared" ref="B22:Q22" si="17">B248</f>
        <v>0.5615</v>
      </c>
      <c r="C22" s="48">
        <f t="shared" si="17"/>
        <v>0</v>
      </c>
      <c r="D22" s="43">
        <f t="shared" si="17"/>
        <v>6542</v>
      </c>
      <c r="E22" s="173"/>
      <c r="F22" s="43">
        <f t="shared" si="17"/>
        <v>590478751.92352629</v>
      </c>
      <c r="G22" s="53">
        <f t="shared" si="17"/>
        <v>330760.67909999995</v>
      </c>
      <c r="H22" s="53">
        <f t="shared" si="17"/>
        <v>2998072.0895500001</v>
      </c>
      <c r="I22" s="53">
        <f t="shared" si="17"/>
        <v>0</v>
      </c>
      <c r="J22" s="53">
        <f t="shared" si="17"/>
        <v>116629.69</v>
      </c>
      <c r="K22" s="53">
        <f t="shared" si="17"/>
        <v>149.65</v>
      </c>
      <c r="L22" s="53">
        <f t="shared" si="17"/>
        <v>3212352.7286499999</v>
      </c>
      <c r="M22" s="53">
        <f t="shared" si="17"/>
        <v>428762.56000000006</v>
      </c>
      <c r="N22" s="53">
        <f t="shared" si="17"/>
        <v>2783590.1686499999</v>
      </c>
      <c r="O22" s="53">
        <f t="shared" si="17"/>
        <v>0</v>
      </c>
      <c r="P22" s="53">
        <f>P248</f>
        <v>0</v>
      </c>
      <c r="Q22" s="53">
        <f t="shared" si="17"/>
        <v>2783590.1686499999</v>
      </c>
    </row>
    <row r="23" spans="1:17">
      <c r="A23" s="49" t="str">
        <f>A251</f>
        <v>WILLOW CREEK GID</v>
      </c>
      <c r="B23" s="48">
        <f t="shared" ref="B23:Q23" si="18">B260</f>
        <v>1.5599999999999999E-2</v>
      </c>
      <c r="C23" s="48">
        <f t="shared" si="18"/>
        <v>0</v>
      </c>
      <c r="D23" s="43">
        <f t="shared" si="18"/>
        <v>250</v>
      </c>
      <c r="E23" s="173"/>
      <c r="F23" s="43">
        <f t="shared" si="18"/>
        <v>10556913.74</v>
      </c>
      <c r="G23" s="53">
        <f t="shared" si="18"/>
        <v>34.267947999999997</v>
      </c>
      <c r="H23" s="53">
        <f t="shared" si="18"/>
        <v>1626.8070600000001</v>
      </c>
      <c r="I23" s="53">
        <f t="shared" si="18"/>
        <v>0</v>
      </c>
      <c r="J23" s="53">
        <f t="shared" si="18"/>
        <v>15.129999999999999</v>
      </c>
      <c r="K23" s="53">
        <f t="shared" si="18"/>
        <v>0</v>
      </c>
      <c r="L23" s="53">
        <f t="shared" si="18"/>
        <v>1645.9450079999999</v>
      </c>
      <c r="M23" s="53">
        <f t="shared" si="18"/>
        <v>687.56000000000006</v>
      </c>
      <c r="N23" s="53">
        <f t="shared" si="18"/>
        <v>958.38500800000008</v>
      </c>
      <c r="O23" s="53">
        <f t="shared" si="18"/>
        <v>0</v>
      </c>
      <c r="P23" s="53">
        <f>P260</f>
        <v>0</v>
      </c>
      <c r="Q23" s="53">
        <f t="shared" si="18"/>
        <v>958.38500800000008</v>
      </c>
    </row>
    <row r="24" spans="1:17">
      <c r="A24" s="57"/>
      <c r="B24" s="51"/>
      <c r="C24" s="51"/>
      <c r="D24" s="52"/>
      <c r="E24" s="203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17" ht="13.5" thickBot="1">
      <c r="A25" s="57" t="s">
        <v>14</v>
      </c>
      <c r="B25" s="51"/>
      <c r="C25" s="51"/>
      <c r="D25" s="69">
        <f>D7</f>
        <v>34069</v>
      </c>
      <c r="E25" s="204"/>
      <c r="F25" s="69">
        <f>F7</f>
        <v>3575677929.4941177</v>
      </c>
      <c r="G25" s="70">
        <f t="shared" ref="G25:Q25" si="19">SUM(G7:G24)</f>
        <v>6609923.2843960011</v>
      </c>
      <c r="H25" s="70">
        <f t="shared" si="19"/>
        <v>121920580.35522103</v>
      </c>
      <c r="I25" s="70">
        <f t="shared" si="19"/>
        <v>0</v>
      </c>
      <c r="J25" s="70">
        <f t="shared" si="19"/>
        <v>1676451.2799999998</v>
      </c>
      <c r="K25" s="70">
        <f t="shared" si="19"/>
        <v>1838.01</v>
      </c>
      <c r="L25" s="70">
        <f t="shared" si="19"/>
        <v>126855890.36961703</v>
      </c>
      <c r="M25" s="70">
        <f t="shared" si="19"/>
        <v>35485988.310000002</v>
      </c>
      <c r="N25" s="70">
        <f t="shared" si="19"/>
        <v>91369902.059616998</v>
      </c>
      <c r="O25" s="70">
        <f t="shared" si="19"/>
        <v>0</v>
      </c>
      <c r="P25" s="70">
        <f t="shared" si="19"/>
        <v>214899.38999999998</v>
      </c>
      <c r="Q25" s="70">
        <f t="shared" si="19"/>
        <v>91155002.669617012</v>
      </c>
    </row>
    <row r="26" spans="1:17" ht="13.5" thickBot="1">
      <c r="A26" s="60"/>
      <c r="B26" s="61"/>
      <c r="C26" s="61"/>
      <c r="D26" s="62"/>
      <c r="E26" s="215"/>
      <c r="F26" s="62"/>
      <c r="G26" s="63"/>
      <c r="H26" s="63"/>
      <c r="I26" s="63"/>
      <c r="J26" s="63"/>
      <c r="K26" s="63"/>
      <c r="L26" s="279" t="s">
        <v>388</v>
      </c>
      <c r="M26" s="280">
        <f>M25/L25</f>
        <v>0.27973465171073503</v>
      </c>
      <c r="N26" s="63"/>
      <c r="O26" s="63"/>
      <c r="P26" s="63"/>
      <c r="Q26" s="63"/>
    </row>
    <row r="27" spans="1:17">
      <c r="A27" s="50"/>
      <c r="B27" s="51"/>
      <c r="C27" s="51"/>
      <c r="D27" s="52"/>
      <c r="E27" s="203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17">
      <c r="A28" s="54" t="s">
        <v>11</v>
      </c>
      <c r="B28" s="51"/>
      <c r="C28" s="51"/>
      <c r="D28" s="52"/>
      <c r="E28" s="203"/>
      <c r="F28" s="52"/>
      <c r="G28" s="64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1:17">
      <c r="A29" s="47"/>
      <c r="B29" s="48"/>
      <c r="C29" s="48"/>
      <c r="D29" s="43"/>
      <c r="E29" s="65">
        <v>134577837</v>
      </c>
      <c r="F29" s="4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</row>
    <row r="30" spans="1:17">
      <c r="A30" s="49" t="s">
        <v>15</v>
      </c>
      <c r="B30" s="48">
        <v>0.17</v>
      </c>
      <c r="C30" s="48">
        <v>0</v>
      </c>
      <c r="D30" s="43">
        <v>34069</v>
      </c>
      <c r="E30" s="173">
        <f>G30/B30*100</f>
        <v>49621864.705882348</v>
      </c>
      <c r="F30" s="43">
        <v>3162759016</v>
      </c>
      <c r="G30" s="53">
        <v>84357.17</v>
      </c>
      <c r="H30" s="53">
        <v>5332232.87</v>
      </c>
      <c r="I30" s="53"/>
      <c r="J30" s="53">
        <v>39942.769999999997</v>
      </c>
      <c r="K30" s="53">
        <v>88.12</v>
      </c>
      <c r="L30" s="53">
        <f>G30+H30+I30-J30+K30</f>
        <v>5376735.3900000006</v>
      </c>
      <c r="M30" s="53">
        <v>1651188.16</v>
      </c>
      <c r="N30" s="53">
        <f>L30-M30</f>
        <v>3725547.2300000004</v>
      </c>
      <c r="O30" s="53">
        <v>0</v>
      </c>
      <c r="P30" s="53">
        <v>0</v>
      </c>
      <c r="Q30" s="53">
        <f>N30-O30-P30</f>
        <v>3725547.2300000004</v>
      </c>
    </row>
    <row r="31" spans="1:17">
      <c r="A31" s="47" t="s">
        <v>16</v>
      </c>
      <c r="B31" s="48">
        <f>B$30</f>
        <v>0.17</v>
      </c>
      <c r="C31" s="48"/>
      <c r="D31" s="43"/>
      <c r="E31" s="173">
        <v>43565046</v>
      </c>
      <c r="F31" s="65">
        <f>IF(E29&gt;E30,E29-E30,0)</f>
        <v>84955972.294117659</v>
      </c>
      <c r="G31" s="53">
        <f>F31*(B31-C31)/100</f>
        <v>144425.15290000002</v>
      </c>
      <c r="H31" s="53"/>
      <c r="I31" s="53">
        <f>F31*C31/100</f>
        <v>0</v>
      </c>
      <c r="J31" s="53"/>
      <c r="K31" s="53"/>
      <c r="L31" s="53">
        <f>G31+H31+I31-J31+K31</f>
        <v>144425.15290000002</v>
      </c>
      <c r="M31" s="53"/>
      <c r="N31" s="53">
        <f>L31-M31</f>
        <v>144425.15290000002</v>
      </c>
      <c r="O31" s="53"/>
      <c r="P31" s="53"/>
      <c r="Q31" s="53">
        <f>N31-O31-P31</f>
        <v>144425.15290000002</v>
      </c>
    </row>
    <row r="32" spans="1:17">
      <c r="A32" s="47" t="s">
        <v>17</v>
      </c>
      <c r="B32" s="48">
        <f>B$30</f>
        <v>0.17</v>
      </c>
      <c r="C32" s="48"/>
      <c r="D32" s="43"/>
      <c r="E32" s="173"/>
      <c r="F32" s="66">
        <v>158372931</v>
      </c>
      <c r="G32" s="53"/>
      <c r="H32" s="53">
        <f>F32*(B32-C32)/100</f>
        <v>269233.98270000005</v>
      </c>
      <c r="I32" s="53">
        <f>F32*C32/100</f>
        <v>0</v>
      </c>
      <c r="J32" s="53">
        <v>0</v>
      </c>
      <c r="K32" s="53">
        <v>0</v>
      </c>
      <c r="L32" s="53">
        <f>G32+H32+I32-J32+K32</f>
        <v>269233.98270000005</v>
      </c>
      <c r="M32" s="53">
        <v>0</v>
      </c>
      <c r="N32" s="53">
        <f>L32-M32</f>
        <v>269233.98270000005</v>
      </c>
      <c r="O32" s="53">
        <v>0</v>
      </c>
      <c r="P32" s="53">
        <v>0</v>
      </c>
      <c r="Q32" s="53">
        <f>N32-O32-P32</f>
        <v>269233.98270000005</v>
      </c>
    </row>
    <row r="33" spans="1:22">
      <c r="A33" s="47" t="s">
        <v>18</v>
      </c>
      <c r="B33" s="48"/>
      <c r="C33" s="48"/>
      <c r="D33" s="43"/>
      <c r="E33" s="173"/>
      <c r="F33" s="4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1:22">
      <c r="A34" s="67" t="s">
        <v>19</v>
      </c>
      <c r="B34" s="48">
        <f>B$30</f>
        <v>0.17</v>
      </c>
      <c r="C34" s="48"/>
      <c r="D34" s="43"/>
      <c r="E34" s="173"/>
      <c r="F34" s="43">
        <v>149888848.36000001</v>
      </c>
      <c r="G34" s="53">
        <v>55639.11</v>
      </c>
      <c r="H34" s="53">
        <v>242172.2</v>
      </c>
      <c r="I34" s="53">
        <v>0</v>
      </c>
      <c r="J34" s="53">
        <v>43000.29</v>
      </c>
      <c r="K34" s="53">
        <v>0</v>
      </c>
      <c r="L34" s="53">
        <f>G34+H34+I34-J34+K34</f>
        <v>254811.02</v>
      </c>
      <c r="M34" s="53">
        <v>8325.7099999999991</v>
      </c>
      <c r="N34" s="53">
        <f>L34-M34</f>
        <v>246485.31</v>
      </c>
      <c r="O34" s="53">
        <v>0</v>
      </c>
      <c r="P34" s="53">
        <v>9990.9500000000007</v>
      </c>
      <c r="Q34" s="53">
        <f>N34-O34-P34</f>
        <v>236494.36</v>
      </c>
    </row>
    <row r="35" spans="1:22">
      <c r="A35" s="67" t="s">
        <v>20</v>
      </c>
      <c r="B35" s="48">
        <f>B$30</f>
        <v>0.17</v>
      </c>
      <c r="C35" s="48"/>
      <c r="D35" s="43"/>
      <c r="E35" s="173"/>
      <c r="F35" s="43">
        <v>19701161.84</v>
      </c>
      <c r="G35" s="53">
        <v>33324.089999999997</v>
      </c>
      <c r="H35" s="53">
        <v>167.51</v>
      </c>
      <c r="I35" s="53">
        <v>0</v>
      </c>
      <c r="J35" s="53">
        <v>0</v>
      </c>
      <c r="K35" s="53">
        <v>0</v>
      </c>
      <c r="L35" s="53">
        <f>G35+H35+I35-J35+K35</f>
        <v>33491.599999999999</v>
      </c>
      <c r="M35" s="53">
        <v>0.33</v>
      </c>
      <c r="N35" s="53">
        <f>L35-M35</f>
        <v>33491.269999999997</v>
      </c>
      <c r="O35" s="53">
        <v>0</v>
      </c>
      <c r="P35" s="53"/>
      <c r="Q35" s="53">
        <f>N35-O35-P35</f>
        <v>33491.269999999997</v>
      </c>
    </row>
    <row r="36" spans="1:22">
      <c r="A36" s="47"/>
      <c r="B36" s="48"/>
      <c r="C36" s="48"/>
      <c r="D36" s="43"/>
      <c r="E36" s="173"/>
      <c r="F36" s="4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</row>
    <row r="37" spans="1:22" s="50" customFormat="1" ht="13.5" thickBot="1">
      <c r="A37" s="60" t="str">
        <f>"TOTAL "&amp;A28</f>
        <v>TOTAL STATE OF NEVADA</v>
      </c>
      <c r="B37" s="68">
        <f>B30</f>
        <v>0.17</v>
      </c>
      <c r="C37" s="68">
        <f>C30</f>
        <v>0</v>
      </c>
      <c r="D37" s="69">
        <f t="shared" ref="D37:Q37" si="20">SUM(D30:D32,D34:D35)</f>
        <v>34069</v>
      </c>
      <c r="E37" s="204"/>
      <c r="F37" s="69">
        <f t="shared" si="20"/>
        <v>3575677929.4941177</v>
      </c>
      <c r="G37" s="70">
        <f t="shared" si="20"/>
        <v>317745.52289999998</v>
      </c>
      <c r="H37" s="70">
        <f t="shared" si="20"/>
        <v>5843806.5627000006</v>
      </c>
      <c r="I37" s="70">
        <f t="shared" si="20"/>
        <v>0</v>
      </c>
      <c r="J37" s="70">
        <f t="shared" si="20"/>
        <v>82943.06</v>
      </c>
      <c r="K37" s="70">
        <f t="shared" si="20"/>
        <v>88.12</v>
      </c>
      <c r="L37" s="70">
        <f t="shared" si="20"/>
        <v>6078697.1456000004</v>
      </c>
      <c r="M37" s="70">
        <f t="shared" si="20"/>
        <v>1659514.2</v>
      </c>
      <c r="N37" s="70">
        <f t="shared" si="20"/>
        <v>4419182.9456000002</v>
      </c>
      <c r="O37" s="70">
        <f t="shared" si="20"/>
        <v>0</v>
      </c>
      <c r="P37" s="70">
        <f t="shared" si="20"/>
        <v>9990.9500000000007</v>
      </c>
      <c r="Q37" s="70">
        <f t="shared" si="20"/>
        <v>4409191.9956</v>
      </c>
    </row>
    <row r="38" spans="1:22">
      <c r="A38" s="150" t="s">
        <v>355</v>
      </c>
      <c r="B38" s="48"/>
      <c r="C38" s="48"/>
      <c r="D38" s="43"/>
      <c r="E38" s="173"/>
      <c r="F38" s="64">
        <v>3576591063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</row>
    <row r="39" spans="1:22">
      <c r="A39" s="151" t="s">
        <v>30</v>
      </c>
      <c r="B39" s="51"/>
      <c r="C39" s="51"/>
      <c r="D39" s="52"/>
      <c r="E39" s="203"/>
      <c r="F39" s="152">
        <f>F37-F38</f>
        <v>-913133.50588226318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T39" s="266" t="s">
        <v>378</v>
      </c>
      <c r="U39" s="266" t="s">
        <v>384</v>
      </c>
      <c r="V39" s="266" t="s">
        <v>227</v>
      </c>
    </row>
    <row r="40" spans="1:22">
      <c r="A40" s="54" t="s">
        <v>12</v>
      </c>
      <c r="B40" s="48"/>
      <c r="C40" s="48"/>
      <c r="D40" s="43"/>
      <c r="E40" s="173"/>
      <c r="F40" s="4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T40" s="266" t="s">
        <v>379</v>
      </c>
      <c r="U40" s="266" t="s">
        <v>385</v>
      </c>
      <c r="V40" s="266" t="s">
        <v>382</v>
      </c>
    </row>
    <row r="41" spans="1:22">
      <c r="A41" s="47"/>
      <c r="B41" s="48"/>
      <c r="C41" s="48"/>
      <c r="D41" s="43"/>
      <c r="E41" s="173"/>
      <c r="F41" s="463">
        <f>(G52+H52)/B52*100</f>
        <v>3186229695.2729616</v>
      </c>
      <c r="G41" s="463"/>
      <c r="H41" s="464">
        <f>F41-J41</f>
        <v>3162755190.0506077</v>
      </c>
      <c r="I41" s="463"/>
      <c r="J41" s="463">
        <f>J52/B52*100</f>
        <v>23474505.222353827</v>
      </c>
      <c r="K41" s="53"/>
      <c r="L41" s="53"/>
      <c r="M41" s="53"/>
      <c r="N41" s="53"/>
      <c r="O41" s="53"/>
      <c r="P41" s="53"/>
      <c r="Q41" s="53"/>
      <c r="T41" s="266"/>
      <c r="U41" s="266" t="s">
        <v>381</v>
      </c>
      <c r="V41" s="266" t="s">
        <v>383</v>
      </c>
    </row>
    <row r="42" spans="1:22">
      <c r="A42" s="49" t="s">
        <v>15</v>
      </c>
      <c r="B42" s="48"/>
      <c r="C42" s="48"/>
      <c r="D42" s="43"/>
      <c r="E42" s="173"/>
      <c r="F42" s="4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T42" s="266"/>
      <c r="U42" s="266"/>
      <c r="V42" s="266"/>
    </row>
    <row r="43" spans="1:22">
      <c r="A43" s="103" t="s">
        <v>61</v>
      </c>
      <c r="B43" s="48">
        <v>0.72370000000000001</v>
      </c>
      <c r="C43" s="48">
        <v>0</v>
      </c>
      <c r="D43" s="413">
        <v>34069</v>
      </c>
      <c r="E43" s="173"/>
      <c r="F43" s="43">
        <v>3162759016</v>
      </c>
      <c r="G43" s="53">
        <v>359109.32</v>
      </c>
      <c r="H43" s="53">
        <v>22699628.18</v>
      </c>
      <c r="I43" s="53">
        <v>0</v>
      </c>
      <c r="J43" s="53">
        <v>170036.93</v>
      </c>
      <c r="K43" s="53">
        <v>375</v>
      </c>
      <c r="L43" s="53">
        <f>G43+H43+I43-J43+K43</f>
        <v>22889075.57</v>
      </c>
      <c r="M43" s="53">
        <v>7028902.0499999998</v>
      </c>
      <c r="N43" s="53">
        <f>L43-M43</f>
        <v>15860173.52</v>
      </c>
      <c r="O43" s="53">
        <v>0</v>
      </c>
      <c r="P43" s="53">
        <v>0</v>
      </c>
      <c r="Q43" s="53">
        <f>N43-O43-P43</f>
        <v>15860173.52</v>
      </c>
      <c r="T43" s="267">
        <f>B43/$B$52</f>
        <v>0.77926133304619349</v>
      </c>
      <c r="U43" s="153">
        <f>$T$57*T43</f>
        <v>2910319.3887535897</v>
      </c>
      <c r="V43" s="153">
        <f>Q43+U43</f>
        <v>18770492.908753589</v>
      </c>
    </row>
    <row r="44" spans="1:22">
      <c r="A44" s="103" t="s">
        <v>188</v>
      </c>
      <c r="B44" s="48">
        <v>0.03</v>
      </c>
      <c r="C44" s="48">
        <v>0</v>
      </c>
      <c r="D44" s="43">
        <v>34069</v>
      </c>
      <c r="E44" s="173"/>
      <c r="F44" s="43">
        <v>3162759016</v>
      </c>
      <c r="G44" s="53">
        <v>14887.51</v>
      </c>
      <c r="H44" s="53">
        <v>940982.49</v>
      </c>
      <c r="I44" s="53">
        <v>0</v>
      </c>
      <c r="J44" s="53">
        <v>7046.74</v>
      </c>
      <c r="K44" s="53">
        <v>15.56</v>
      </c>
      <c r="L44" s="53">
        <f t="shared" ref="L44:L47" si="21">G44+H44+I44-J44+K44</f>
        <v>948838.82000000007</v>
      </c>
      <c r="M44" s="53">
        <v>293039.09999999998</v>
      </c>
      <c r="N44" s="53">
        <f t="shared" ref="N44:N47" si="22">L44-M44</f>
        <v>655799.72000000009</v>
      </c>
      <c r="O44" s="53">
        <v>0</v>
      </c>
      <c r="P44" s="53">
        <v>0</v>
      </c>
      <c r="Q44" s="53">
        <f t="shared" ref="Q44:Q47" si="23">N44-O44-P44</f>
        <v>655799.72000000009</v>
      </c>
      <c r="T44" s="267">
        <f t="shared" ref="T44:T50" si="24">B44/$B$52</f>
        <v>3.2303219554215563E-2</v>
      </c>
      <c r="U44" s="153">
        <f t="shared" ref="U44:U50" si="25">$T$57*T44</f>
        <v>120643.33517010872</v>
      </c>
      <c r="V44" s="153">
        <f t="shared" ref="V44:V50" si="26">Q44+U44</f>
        <v>776443.0551701088</v>
      </c>
    </row>
    <row r="45" spans="1:22">
      <c r="A45" s="103" t="s">
        <v>92</v>
      </c>
      <c r="B45" s="48">
        <v>0.105</v>
      </c>
      <c r="C45" s="48">
        <v>0</v>
      </c>
      <c r="D45" s="43">
        <v>34069</v>
      </c>
      <c r="E45" s="173"/>
      <c r="F45" s="43">
        <v>3162759016</v>
      </c>
      <c r="G45" s="53">
        <v>52103.16</v>
      </c>
      <c r="H45" s="53">
        <v>3293442.24</v>
      </c>
      <c r="I45" s="53">
        <v>0</v>
      </c>
      <c r="J45" s="53">
        <v>24597.1</v>
      </c>
      <c r="K45" s="53">
        <v>54.44</v>
      </c>
      <c r="L45" s="53">
        <f t="shared" si="21"/>
        <v>3321002.74</v>
      </c>
      <c r="M45" s="53">
        <v>1075252.1399999999</v>
      </c>
      <c r="N45" s="53">
        <f t="shared" si="22"/>
        <v>2245750.6000000006</v>
      </c>
      <c r="O45" s="53">
        <v>0</v>
      </c>
      <c r="P45" s="53">
        <v>0</v>
      </c>
      <c r="Q45" s="53">
        <f t="shared" si="23"/>
        <v>2245750.6000000006</v>
      </c>
      <c r="T45" s="267">
        <f t="shared" si="24"/>
        <v>0.11306126843975448</v>
      </c>
      <c r="U45" s="153">
        <f t="shared" si="25"/>
        <v>422251.67309538054</v>
      </c>
      <c r="V45" s="153">
        <f t="shared" si="26"/>
        <v>2668002.273095381</v>
      </c>
    </row>
    <row r="46" spans="1:22">
      <c r="A46" s="103" t="s">
        <v>491</v>
      </c>
      <c r="B46" s="48">
        <v>0.06</v>
      </c>
      <c r="C46" s="48">
        <v>0</v>
      </c>
      <c r="D46" s="43">
        <v>34069</v>
      </c>
      <c r="E46" s="173"/>
      <c r="F46" s="43">
        <v>3162759016</v>
      </c>
      <c r="G46" s="53">
        <v>29772.78</v>
      </c>
      <c r="H46" s="53">
        <v>1881964.3</v>
      </c>
      <c r="I46" s="53">
        <v>0</v>
      </c>
      <c r="J46" s="53">
        <v>13979.23</v>
      </c>
      <c r="K46" s="53">
        <v>31.1</v>
      </c>
      <c r="L46" s="53">
        <f t="shared" si="21"/>
        <v>1897788.9500000002</v>
      </c>
      <c r="M46" s="53">
        <v>633091.49</v>
      </c>
      <c r="N46" s="53">
        <f t="shared" si="22"/>
        <v>1264697.4600000002</v>
      </c>
      <c r="O46" s="53">
        <v>0</v>
      </c>
      <c r="P46" s="53">
        <v>0</v>
      </c>
      <c r="Q46" s="53">
        <f t="shared" si="23"/>
        <v>1264697.4600000002</v>
      </c>
      <c r="T46" s="267">
        <f t="shared" si="24"/>
        <v>6.4606439108431127E-2</v>
      </c>
      <c r="U46" s="153">
        <f t="shared" si="25"/>
        <v>241286.67034021745</v>
      </c>
      <c r="V46" s="153">
        <f t="shared" si="26"/>
        <v>1505984.1303402176</v>
      </c>
    </row>
    <row r="47" spans="1:22">
      <c r="A47" s="103" t="s">
        <v>189</v>
      </c>
      <c r="B47" s="48">
        <v>0.01</v>
      </c>
      <c r="C47" s="48">
        <v>0</v>
      </c>
      <c r="D47" s="43">
        <v>34069</v>
      </c>
      <c r="E47" s="173"/>
      <c r="F47" s="43">
        <v>3162759016</v>
      </c>
      <c r="G47" s="53">
        <v>4963.34</v>
      </c>
      <c r="H47" s="53">
        <v>313661.86</v>
      </c>
      <c r="I47" s="53">
        <v>0</v>
      </c>
      <c r="J47" s="53">
        <v>2347.73</v>
      </c>
      <c r="K47" s="53">
        <v>5.17</v>
      </c>
      <c r="L47" s="53">
        <f t="shared" si="21"/>
        <v>316282.64</v>
      </c>
      <c r="M47" s="53">
        <v>97129.77</v>
      </c>
      <c r="N47" s="53">
        <f t="shared" si="22"/>
        <v>219152.87</v>
      </c>
      <c r="O47" s="53">
        <v>0</v>
      </c>
      <c r="P47" s="53">
        <v>0</v>
      </c>
      <c r="Q47" s="53">
        <f t="shared" si="23"/>
        <v>219152.87</v>
      </c>
      <c r="T47" s="267">
        <f t="shared" si="24"/>
        <v>1.076773985140519E-2</v>
      </c>
      <c r="U47" s="153">
        <f t="shared" si="25"/>
        <v>40214.44505670292</v>
      </c>
      <c r="V47" s="153">
        <f t="shared" si="26"/>
        <v>259367.31505670291</v>
      </c>
    </row>
    <row r="48" spans="1:22">
      <c r="A48" s="103"/>
      <c r="B48" s="48"/>
      <c r="C48" s="48"/>
      <c r="D48" s="43"/>
      <c r="E48" s="173"/>
      <c r="F48" s="4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T48" s="267">
        <f t="shared" si="24"/>
        <v>0</v>
      </c>
      <c r="U48" s="153">
        <f t="shared" si="25"/>
        <v>0</v>
      </c>
      <c r="V48" s="153">
        <f t="shared" si="26"/>
        <v>0</v>
      </c>
    </row>
    <row r="49" spans="1:23">
      <c r="A49" s="103"/>
      <c r="B49" s="48"/>
      <c r="C49" s="48"/>
      <c r="D49" s="43"/>
      <c r="E49" s="173"/>
      <c r="F49" s="4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T49" s="267">
        <f t="shared" si="24"/>
        <v>0</v>
      </c>
      <c r="U49" s="153">
        <f t="shared" si="25"/>
        <v>0</v>
      </c>
      <c r="V49" s="153">
        <f t="shared" si="26"/>
        <v>0</v>
      </c>
    </row>
    <row r="50" spans="1:23">
      <c r="A50" s="103"/>
      <c r="B50" s="48"/>
      <c r="C50" s="48"/>
      <c r="D50" s="43"/>
      <c r="E50" s="173"/>
      <c r="F50" s="4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T50" s="267">
        <f t="shared" si="24"/>
        <v>0</v>
      </c>
      <c r="U50" s="153">
        <f t="shared" si="25"/>
        <v>0</v>
      </c>
      <c r="V50" s="153">
        <f t="shared" si="26"/>
        <v>0</v>
      </c>
    </row>
    <row r="51" spans="1:23" s="50" customFormat="1">
      <c r="A51" s="71"/>
      <c r="B51" s="51"/>
      <c r="C51" s="51"/>
      <c r="D51" s="13"/>
      <c r="E51" s="65">
        <v>134577837</v>
      </c>
      <c r="F51" s="13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T51" s="268"/>
      <c r="U51" s="268"/>
      <c r="V51" s="268"/>
    </row>
    <row r="52" spans="1:23">
      <c r="A52" s="71" t="s">
        <v>26</v>
      </c>
      <c r="B52" s="48">
        <f>SUM(B43:B51)</f>
        <v>0.92870000000000008</v>
      </c>
      <c r="C52" s="48">
        <f>-SUM(C43:C51)</f>
        <v>0</v>
      </c>
      <c r="D52" s="72">
        <f>D43</f>
        <v>34069</v>
      </c>
      <c r="E52" s="208">
        <f>G52/B52*100</f>
        <v>49621633.466135457</v>
      </c>
      <c r="F52" s="72">
        <f>F43</f>
        <v>3162759016</v>
      </c>
      <c r="G52" s="73">
        <f t="shared" ref="G52:P52" si="27">SUM(G42:G51)</f>
        <v>460836.11000000004</v>
      </c>
      <c r="H52" s="73">
        <f t="shared" si="27"/>
        <v>29129679.069999997</v>
      </c>
      <c r="I52" s="73">
        <f t="shared" si="27"/>
        <v>0</v>
      </c>
      <c r="J52" s="73">
        <f t="shared" si="27"/>
        <v>218007.73</v>
      </c>
      <c r="K52" s="73">
        <f t="shared" si="27"/>
        <v>481.27000000000004</v>
      </c>
      <c r="L52" s="73">
        <f t="shared" si="27"/>
        <v>29372988.720000003</v>
      </c>
      <c r="M52" s="73">
        <f t="shared" si="27"/>
        <v>9127414.5499999989</v>
      </c>
      <c r="N52" s="73">
        <f t="shared" si="27"/>
        <v>20245574.170000002</v>
      </c>
      <c r="O52" s="73">
        <f t="shared" si="27"/>
        <v>0</v>
      </c>
      <c r="P52" s="73">
        <f t="shared" si="27"/>
        <v>0</v>
      </c>
      <c r="Q52" s="73">
        <f>N52-O52-P52</f>
        <v>20245574.170000002</v>
      </c>
      <c r="T52" s="267">
        <f>SUM(T43:T50)</f>
        <v>0.99999999999999989</v>
      </c>
      <c r="U52" s="153">
        <f>SUM(U43:U50)</f>
        <v>3734715.5124159995</v>
      </c>
      <c r="V52" s="153">
        <f>SUM(V43:V50)</f>
        <v>23980289.682415999</v>
      </c>
      <c r="W52" s="53"/>
    </row>
    <row r="53" spans="1:23" ht="21" customHeight="1">
      <c r="A53" s="47" t="s">
        <v>16</v>
      </c>
      <c r="B53" s="48">
        <f>B52</f>
        <v>0.92870000000000008</v>
      </c>
      <c r="C53" s="48">
        <f>C52</f>
        <v>0</v>
      </c>
      <c r="D53" s="43"/>
      <c r="E53" s="173"/>
      <c r="F53" s="65">
        <f>IF(E51&gt;E52,E51-E52,0)</f>
        <v>84956203.533864543</v>
      </c>
      <c r="G53" s="53">
        <f>F53*(B53-C53)/100</f>
        <v>788988.26221900003</v>
      </c>
      <c r="H53" s="53"/>
      <c r="I53" s="53">
        <f>F53*C53/100</f>
        <v>0</v>
      </c>
      <c r="J53" s="53"/>
      <c r="K53" s="53"/>
      <c r="L53" s="53">
        <f>G53+H53+I53-J53+K53</f>
        <v>788988.26221900003</v>
      </c>
      <c r="M53" s="53"/>
      <c r="N53" s="53">
        <f>L53-M53</f>
        <v>788988.26221900003</v>
      </c>
      <c r="O53" s="53"/>
      <c r="P53" s="53"/>
      <c r="Q53" s="53">
        <f>N53-O53-P53</f>
        <v>788988.26221900003</v>
      </c>
      <c r="T53" s="266"/>
      <c r="U53" s="266"/>
      <c r="V53" s="266"/>
    </row>
    <row r="54" spans="1:23" ht="12.75" customHeight="1">
      <c r="A54" s="47" t="s">
        <v>17</v>
      </c>
      <c r="B54" s="48">
        <f>B52</f>
        <v>0.92870000000000008</v>
      </c>
      <c r="C54" s="48">
        <f>C52</f>
        <v>0</v>
      </c>
      <c r="D54" s="43"/>
      <c r="E54" s="173"/>
      <c r="F54" s="25">
        <v>158372931</v>
      </c>
      <c r="G54" s="53"/>
      <c r="H54" s="53">
        <f>F54*(B54-C54)/100</f>
        <v>1470809.4101970003</v>
      </c>
      <c r="I54" s="53">
        <f>F54*C54/100</f>
        <v>0</v>
      </c>
      <c r="J54" s="53">
        <v>0</v>
      </c>
      <c r="K54" s="53">
        <v>0</v>
      </c>
      <c r="L54" s="53">
        <f>G54+H54+I54-J54+K54</f>
        <v>1470809.4101970003</v>
      </c>
      <c r="M54" s="53">
        <v>0</v>
      </c>
      <c r="N54" s="53">
        <f>L54-M54</f>
        <v>1470809.4101970003</v>
      </c>
      <c r="O54" s="53">
        <v>0</v>
      </c>
      <c r="P54" s="53">
        <v>0</v>
      </c>
      <c r="Q54" s="53">
        <f>N54-O54-P54</f>
        <v>1470809.4101970003</v>
      </c>
      <c r="T54" s="266" t="s">
        <v>380</v>
      </c>
      <c r="U54" s="266"/>
      <c r="V54" s="266"/>
    </row>
    <row r="55" spans="1:23">
      <c r="A55" s="47" t="s">
        <v>18</v>
      </c>
      <c r="B55" s="48"/>
      <c r="C55" s="48"/>
      <c r="D55" s="43"/>
      <c r="E55" s="173"/>
      <c r="F55" s="4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T55" s="266" t="s">
        <v>381</v>
      </c>
      <c r="U55" s="266"/>
      <c r="V55" s="266"/>
    </row>
    <row r="56" spans="1:23">
      <c r="A56" s="67" t="s">
        <v>19</v>
      </c>
      <c r="B56" s="48">
        <f>B52</f>
        <v>0.92870000000000008</v>
      </c>
      <c r="C56" s="48">
        <f>C52</f>
        <v>0</v>
      </c>
      <c r="D56" s="43"/>
      <c r="E56" s="173"/>
      <c r="F56" s="43">
        <v>149888848.36000001</v>
      </c>
      <c r="G56" s="53">
        <v>303953.25</v>
      </c>
      <c r="H56" s="53">
        <v>1322972.68</v>
      </c>
      <c r="I56" s="53">
        <v>0</v>
      </c>
      <c r="J56" s="53">
        <v>234908.13</v>
      </c>
      <c r="K56" s="53">
        <v>0</v>
      </c>
      <c r="L56" s="53">
        <f t="shared" ref="L56" si="28">G56+H56+I56-J56+K56</f>
        <v>1392017.7999999998</v>
      </c>
      <c r="M56" s="53">
        <v>45482.62</v>
      </c>
      <c r="N56" s="53">
        <f>L56-M56</f>
        <v>1346535.1799999997</v>
      </c>
      <c r="O56" s="53">
        <v>0</v>
      </c>
      <c r="P56" s="53">
        <v>54579.95</v>
      </c>
      <c r="Q56" s="53">
        <f>N56-O56-P56</f>
        <v>1291955.2299999997</v>
      </c>
      <c r="S56" s="381">
        <f>Q57-G57</f>
        <v>913.92000000001281</v>
      </c>
    </row>
    <row r="57" spans="1:23">
      <c r="A57" s="67" t="s">
        <v>20</v>
      </c>
      <c r="B57" s="48">
        <f>B52</f>
        <v>0.92870000000000008</v>
      </c>
      <c r="C57" s="48">
        <f>C52</f>
        <v>0</v>
      </c>
      <c r="D57" s="43"/>
      <c r="E57" s="173"/>
      <c r="F57" s="43">
        <v>19701161.84</v>
      </c>
      <c r="G57" s="53">
        <v>182048.69</v>
      </c>
      <c r="H57" s="53">
        <v>915.78</v>
      </c>
      <c r="I57" s="53">
        <v>0</v>
      </c>
      <c r="J57" s="53">
        <v>0</v>
      </c>
      <c r="K57" s="53">
        <v>0</v>
      </c>
      <c r="L57" s="53">
        <f>G57+H57+I57-J57+K57</f>
        <v>182964.47</v>
      </c>
      <c r="M57" s="53">
        <v>1.86</v>
      </c>
      <c r="N57" s="53">
        <f>L57-M57</f>
        <v>182962.61000000002</v>
      </c>
      <c r="O57" s="53">
        <v>0</v>
      </c>
      <c r="P57" s="53"/>
      <c r="Q57" s="53">
        <f>N57-O57-P57</f>
        <v>182962.61000000002</v>
      </c>
      <c r="T57" s="153">
        <f>SUM(Q53:Q54,Q56:Q57)</f>
        <v>3734715.512416</v>
      </c>
      <c r="U57" s="266"/>
      <c r="V57" s="266"/>
    </row>
    <row r="58" spans="1:23">
      <c r="A58" s="47"/>
      <c r="B58" s="48"/>
      <c r="C58" s="48"/>
      <c r="D58" s="43"/>
      <c r="E58" s="173"/>
      <c r="F58" s="4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T58" s="266"/>
      <c r="U58" s="266"/>
      <c r="V58" s="266"/>
    </row>
    <row r="59" spans="1:23" s="50" customFormat="1" ht="13.5" thickBot="1">
      <c r="A59" s="60" t="str">
        <f>"TOTAL "&amp;A40</f>
        <v>TOTAL GENERAL COUNTY</v>
      </c>
      <c r="B59" s="68">
        <f>B52</f>
        <v>0.92870000000000008</v>
      </c>
      <c r="C59" s="68">
        <f>C52</f>
        <v>0</v>
      </c>
      <c r="D59" s="69">
        <f t="shared" ref="D59:Q59" si="29">SUM(D52:D54,D56:D57)</f>
        <v>34069</v>
      </c>
      <c r="E59" s="204"/>
      <c r="F59" s="69">
        <f t="shared" si="29"/>
        <v>3575678160.7338648</v>
      </c>
      <c r="G59" s="70">
        <f t="shared" si="29"/>
        <v>1735826.312219</v>
      </c>
      <c r="H59" s="70">
        <f t="shared" si="29"/>
        <v>31924376.940196998</v>
      </c>
      <c r="I59" s="70">
        <f t="shared" si="29"/>
        <v>0</v>
      </c>
      <c r="J59" s="70">
        <f t="shared" si="29"/>
        <v>452915.86</v>
      </c>
      <c r="K59" s="70">
        <f t="shared" si="29"/>
        <v>481.27000000000004</v>
      </c>
      <c r="L59" s="70">
        <f t="shared" si="29"/>
        <v>33207768.662416004</v>
      </c>
      <c r="M59" s="70">
        <f t="shared" si="29"/>
        <v>9172899.0299999975</v>
      </c>
      <c r="N59" s="70">
        <f t="shared" si="29"/>
        <v>24034869.632416002</v>
      </c>
      <c r="O59" s="70">
        <f t="shared" si="29"/>
        <v>0</v>
      </c>
      <c r="P59" s="70">
        <f t="shared" si="29"/>
        <v>54579.95</v>
      </c>
      <c r="Q59" s="70">
        <f t="shared" si="29"/>
        <v>23980289.682416003</v>
      </c>
    </row>
    <row r="60" spans="1:23" s="168" customFormat="1">
      <c r="A60" s="165" t="s">
        <v>28</v>
      </c>
      <c r="B60" s="166"/>
      <c r="C60" s="166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</row>
    <row r="61" spans="1:23" s="168" customFormat="1">
      <c r="A61" s="200" t="s">
        <v>29</v>
      </c>
      <c r="B61" s="166"/>
      <c r="C61" s="166"/>
      <c r="D61" s="167"/>
      <c r="E61" s="167"/>
      <c r="F61" s="167">
        <v>43565046</v>
      </c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</row>
    <row r="62" spans="1:23" s="168" customFormat="1">
      <c r="A62" s="200" t="s">
        <v>15</v>
      </c>
      <c r="B62" s="166"/>
      <c r="C62" s="166"/>
      <c r="D62" s="167"/>
      <c r="E62" s="167"/>
      <c r="F62" s="169">
        <v>3114050258</v>
      </c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</row>
    <row r="63" spans="1:23" s="168" customFormat="1">
      <c r="A63" s="200"/>
      <c r="B63" s="166"/>
      <c r="C63" s="166"/>
      <c r="D63" s="167"/>
      <c r="E63" s="167"/>
      <c r="F63" s="167">
        <f>F61+F62</f>
        <v>3157615304</v>
      </c>
      <c r="G63" s="167"/>
      <c r="H63" s="464">
        <f>H41-F63</f>
        <v>5139886.0506076813</v>
      </c>
      <c r="I63" s="167"/>
      <c r="J63" s="167"/>
      <c r="K63" s="167"/>
      <c r="L63" s="167"/>
      <c r="M63" s="167"/>
      <c r="N63" s="167"/>
      <c r="O63" s="167"/>
      <c r="P63" s="167"/>
      <c r="Q63" s="167"/>
    </row>
    <row r="64" spans="1:23" s="168" customFormat="1">
      <c r="A64" s="200" t="s">
        <v>30</v>
      </c>
      <c r="B64" s="166"/>
      <c r="C64" s="166"/>
      <c r="D64" s="167"/>
      <c r="E64" s="167"/>
      <c r="F64" s="74">
        <f>F52-F63</f>
        <v>5143712</v>
      </c>
      <c r="G64" s="170">
        <f>F64/F63</f>
        <v>1.6289862775506741E-3</v>
      </c>
      <c r="H64" s="260"/>
      <c r="I64" s="167"/>
      <c r="J64" s="167"/>
      <c r="K64" s="167"/>
      <c r="L64" s="167"/>
      <c r="M64" s="167"/>
      <c r="N64" s="167"/>
      <c r="O64" s="167"/>
      <c r="P64" s="167"/>
      <c r="Q64" s="167"/>
    </row>
    <row r="65" spans="1:19" s="174" customFormat="1">
      <c r="A65" s="171"/>
      <c r="B65" s="172"/>
      <c r="C65" s="172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1:19" s="174" customFormat="1">
      <c r="A66" s="75" t="s">
        <v>355</v>
      </c>
      <c r="B66" s="172"/>
      <c r="D66" s="175"/>
      <c r="E66" s="175"/>
      <c r="F66" s="175">
        <v>3576591063</v>
      </c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1:19" s="174" customFormat="1">
      <c r="A67" s="76" t="s">
        <v>30</v>
      </c>
      <c r="B67" s="172"/>
      <c r="C67" s="172"/>
      <c r="D67" s="77"/>
      <c r="E67" s="77"/>
      <c r="F67" s="77">
        <f>F59-F66</f>
        <v>-912902.26613521576</v>
      </c>
      <c r="G67" s="223" t="s">
        <v>469</v>
      </c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1:19">
      <c r="A68" s="47"/>
      <c r="B68" s="48"/>
      <c r="C68" s="48"/>
      <c r="D68" s="43"/>
      <c r="E68" s="173"/>
      <c r="F68" s="4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1:19">
      <c r="A69" s="54" t="s">
        <v>13</v>
      </c>
      <c r="B69" s="51"/>
      <c r="C69" s="51"/>
      <c r="D69" s="52"/>
      <c r="E69" s="203"/>
      <c r="F69" s="52"/>
      <c r="G69" s="64"/>
      <c r="H69" s="53"/>
      <c r="I69" s="53"/>
      <c r="J69" s="53"/>
      <c r="K69" s="53"/>
      <c r="L69" s="53"/>
      <c r="M69" s="53"/>
      <c r="N69" s="53"/>
      <c r="O69" s="53"/>
      <c r="P69" s="53"/>
      <c r="Q69" s="53"/>
    </row>
    <row r="70" spans="1:19">
      <c r="A70" s="47"/>
      <c r="B70" s="48"/>
      <c r="C70" s="48"/>
      <c r="D70" s="43"/>
      <c r="E70" s="65">
        <v>134577837</v>
      </c>
      <c r="F70" s="4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</row>
    <row r="71" spans="1:19">
      <c r="A71" s="49" t="s">
        <v>15</v>
      </c>
      <c r="B71" s="48">
        <v>0.75</v>
      </c>
      <c r="C71" s="48">
        <v>0</v>
      </c>
      <c r="D71" s="43">
        <v>34069</v>
      </c>
      <c r="E71" s="173">
        <f>G71/B71*100</f>
        <v>49621452</v>
      </c>
      <c r="F71" s="43">
        <v>3162759016</v>
      </c>
      <c r="G71" s="53">
        <v>372160.89</v>
      </c>
      <c r="H71" s="53">
        <v>23524546.640000001</v>
      </c>
      <c r="I71" s="53">
        <v>0</v>
      </c>
      <c r="J71" s="53">
        <v>176220.56</v>
      </c>
      <c r="K71" s="53">
        <v>388.61</v>
      </c>
      <c r="L71" s="53">
        <f>G71+H71+I71-J71+K71</f>
        <v>23720875.580000002</v>
      </c>
      <c r="M71" s="53">
        <v>7284647.2400000002</v>
      </c>
      <c r="N71" s="53">
        <f>L71-M71</f>
        <v>16436228.340000002</v>
      </c>
      <c r="O71" s="53">
        <v>0</v>
      </c>
      <c r="P71" s="53">
        <v>0</v>
      </c>
      <c r="Q71" s="53">
        <f>N71-O71-P71</f>
        <v>16436228.340000002</v>
      </c>
      <c r="S71" s="53"/>
    </row>
    <row r="72" spans="1:19">
      <c r="A72" s="47" t="s">
        <v>16</v>
      </c>
      <c r="B72" s="48">
        <f>B71</f>
        <v>0.75</v>
      </c>
      <c r="C72" s="48">
        <f>C71</f>
        <v>0</v>
      </c>
      <c r="D72" s="43"/>
      <c r="E72" s="173"/>
      <c r="F72" s="65">
        <f>IF(E70&gt;E71,E70-E71,0)</f>
        <v>84956385</v>
      </c>
      <c r="G72" s="53">
        <f>F72*(B72-C72)/100</f>
        <v>637172.88749999995</v>
      </c>
      <c r="H72" s="53"/>
      <c r="I72" s="53">
        <f>F72*C72/100</f>
        <v>0</v>
      </c>
      <c r="J72" s="53"/>
      <c r="K72" s="53"/>
      <c r="L72" s="53">
        <f t="shared" ref="L72:L76" si="30">G72+H72+I72-J72+K72</f>
        <v>637172.88749999995</v>
      </c>
      <c r="M72" s="53"/>
      <c r="N72" s="53">
        <f>L72-M72</f>
        <v>637172.88749999995</v>
      </c>
      <c r="O72" s="53"/>
      <c r="P72" s="53"/>
      <c r="Q72" s="53">
        <f>N72-O72-P72</f>
        <v>637172.88749999995</v>
      </c>
    </row>
    <row r="73" spans="1:19">
      <c r="A73" s="47" t="s">
        <v>17</v>
      </c>
      <c r="B73" s="48">
        <f>B71</f>
        <v>0.75</v>
      </c>
      <c r="C73" s="48">
        <f>C71</f>
        <v>0</v>
      </c>
      <c r="D73" s="43"/>
      <c r="E73" s="173"/>
      <c r="F73" s="66">
        <v>158372931</v>
      </c>
      <c r="G73" s="53"/>
      <c r="H73" s="53">
        <f>F73*(B73-C73)/100</f>
        <v>1187796.9824999999</v>
      </c>
      <c r="I73" s="53">
        <f>F73*C73/100</f>
        <v>0</v>
      </c>
      <c r="J73" s="53">
        <v>0</v>
      </c>
      <c r="K73" s="53">
        <v>0</v>
      </c>
      <c r="L73" s="53">
        <f t="shared" si="30"/>
        <v>1187796.9824999999</v>
      </c>
      <c r="M73" s="53">
        <v>0</v>
      </c>
      <c r="N73" s="53">
        <f>L73-M73</f>
        <v>1187796.9824999999</v>
      </c>
      <c r="O73" s="53">
        <v>0</v>
      </c>
      <c r="P73" s="53">
        <v>0</v>
      </c>
      <c r="Q73" s="53">
        <f>N73-O73-P73</f>
        <v>1187796.9824999999</v>
      </c>
    </row>
    <row r="74" spans="1:19">
      <c r="A74" s="47" t="s">
        <v>18</v>
      </c>
      <c r="B74" s="48"/>
      <c r="C74" s="48"/>
      <c r="D74" s="43"/>
      <c r="E74" s="173"/>
      <c r="F74" s="4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9">
      <c r="A75" s="67" t="s">
        <v>19</v>
      </c>
      <c r="B75" s="48">
        <f>B71</f>
        <v>0.75</v>
      </c>
      <c r="C75" s="48">
        <f>C71</f>
        <v>0</v>
      </c>
      <c r="D75" s="43"/>
      <c r="E75" s="173"/>
      <c r="F75" s="43">
        <v>149888848.36000001</v>
      </c>
      <c r="G75" s="53">
        <f>437487.07*S78</f>
        <v>245466.673524351</v>
      </c>
      <c r="H75" s="53">
        <f>1904186.04*S78</f>
        <v>1068406.9200269319</v>
      </c>
      <c r="I75" s="53">
        <v>0</v>
      </c>
      <c r="J75" s="53">
        <f>338108.84*S78</f>
        <v>189707.21179022969</v>
      </c>
      <c r="K75" s="53">
        <v>0</v>
      </c>
      <c r="L75" s="53">
        <f t="shared" si="30"/>
        <v>1124166.3817610533</v>
      </c>
      <c r="M75" s="53">
        <f>65464.27*S78</f>
        <v>36730.906336500331</v>
      </c>
      <c r="N75" s="53">
        <f>L75-M75</f>
        <v>1087435.475424553</v>
      </c>
      <c r="O75" s="53">
        <v>0</v>
      </c>
      <c r="P75" s="53">
        <f>78558.23*S78</f>
        <v>44077.70816189122</v>
      </c>
      <c r="Q75" s="53">
        <f>N75-O75-P75</f>
        <v>1043357.7672626618</v>
      </c>
      <c r="S75" s="381">
        <f>Q76-G76</f>
        <v>738.03770479539526</v>
      </c>
    </row>
    <row r="76" spans="1:19">
      <c r="A76" s="67" t="s">
        <v>20</v>
      </c>
      <c r="B76" s="48">
        <f>B71</f>
        <v>0.75</v>
      </c>
      <c r="C76" s="48">
        <f>C71</f>
        <v>0</v>
      </c>
      <c r="D76" s="43"/>
      <c r="E76" s="173"/>
      <c r="F76" s="43">
        <v>19701161.84</v>
      </c>
      <c r="G76" s="53">
        <f>262026.86*S78</f>
        <v>147018.88606269169</v>
      </c>
      <c r="H76" s="53">
        <f>1317.97*S78</f>
        <v>739.49091045111095</v>
      </c>
      <c r="I76" s="53">
        <v>0</v>
      </c>
      <c r="J76" s="53">
        <v>0</v>
      </c>
      <c r="K76" s="53">
        <v>0</v>
      </c>
      <c r="L76" s="53">
        <f t="shared" si="30"/>
        <v>147758.37697314279</v>
      </c>
      <c r="M76" s="53">
        <f>2.59*S78</f>
        <v>1.4532056557193087</v>
      </c>
      <c r="N76" s="53">
        <f>L76-M76</f>
        <v>147756.92376748708</v>
      </c>
      <c r="O76" s="53">
        <v>0</v>
      </c>
      <c r="P76" s="53"/>
      <c r="Q76" s="53">
        <f>N76-O76-P76</f>
        <v>147756.92376748708</v>
      </c>
      <c r="S76" s="381">
        <f>G76</f>
        <v>147018.88606269169</v>
      </c>
    </row>
    <row r="77" spans="1:19">
      <c r="A77" s="47"/>
      <c r="B77" s="48"/>
      <c r="C77" s="48"/>
      <c r="D77" s="43"/>
      <c r="E77" s="173"/>
      <c r="F77" s="4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1:19" s="50" customFormat="1">
      <c r="A78" s="57" t="s">
        <v>31</v>
      </c>
      <c r="B78" s="51">
        <f>B71</f>
        <v>0.75</v>
      </c>
      <c r="C78" s="51">
        <f>C71</f>
        <v>0</v>
      </c>
      <c r="D78" s="78">
        <f t="shared" ref="D78:Q78" si="31">SUM(D71:D73,D75:D76)</f>
        <v>34069</v>
      </c>
      <c r="E78" s="206"/>
      <c r="F78" s="78">
        <f t="shared" si="31"/>
        <v>3575678342.2000003</v>
      </c>
      <c r="G78" s="79">
        <f t="shared" si="31"/>
        <v>1401819.3370870426</v>
      </c>
      <c r="H78" s="79">
        <f t="shared" si="31"/>
        <v>25781490.033437386</v>
      </c>
      <c r="I78" s="79">
        <f t="shared" si="31"/>
        <v>0</v>
      </c>
      <c r="J78" s="79">
        <f t="shared" si="31"/>
        <v>365927.77179022972</v>
      </c>
      <c r="K78" s="79">
        <f t="shared" si="31"/>
        <v>388.61</v>
      </c>
      <c r="L78" s="79">
        <f t="shared" si="31"/>
        <v>26817770.208734196</v>
      </c>
      <c r="M78" s="79">
        <f t="shared" si="31"/>
        <v>7321379.5995421559</v>
      </c>
      <c r="N78" s="79">
        <f t="shared" si="31"/>
        <v>19496390.609192044</v>
      </c>
      <c r="O78" s="79">
        <f t="shared" si="31"/>
        <v>0</v>
      </c>
      <c r="P78" s="79">
        <f t="shared" si="31"/>
        <v>44077.70816189122</v>
      </c>
      <c r="Q78" s="79">
        <f t="shared" si="31"/>
        <v>19452312.901030149</v>
      </c>
      <c r="S78" s="183">
        <f>B78/B92</f>
        <v>0.56108326475648984</v>
      </c>
    </row>
    <row r="79" spans="1:19">
      <c r="A79" s="47"/>
      <c r="B79" s="48"/>
      <c r="C79" s="48"/>
      <c r="D79" s="43"/>
      <c r="E79" s="173"/>
      <c r="F79" s="43"/>
      <c r="G79" s="53"/>
      <c r="H79" s="53"/>
      <c r="I79" s="53"/>
      <c r="J79" s="53"/>
      <c r="K79" s="53"/>
      <c r="L79" s="505" t="s">
        <v>388</v>
      </c>
      <c r="M79" s="506">
        <f>M78/L78</f>
        <v>0.27300478535525963</v>
      </c>
      <c r="N79" s="53"/>
      <c r="O79" s="53"/>
      <c r="P79" s="53"/>
      <c r="Q79" s="53"/>
    </row>
    <row r="80" spans="1:19">
      <c r="A80" s="47"/>
      <c r="B80" s="48"/>
      <c r="C80" s="48"/>
      <c r="D80" s="43"/>
      <c r="E80" s="173"/>
      <c r="F80" s="43"/>
      <c r="G80" s="81">
        <f>G75+G87</f>
        <v>437487.07</v>
      </c>
      <c r="H80" s="81">
        <f t="shared" ref="H80:Q81" si="32">H75+H87</f>
        <v>1904186.04</v>
      </c>
      <c r="I80" s="81">
        <f t="shared" si="32"/>
        <v>0</v>
      </c>
      <c r="J80" s="81">
        <f t="shared" si="32"/>
        <v>338108.84</v>
      </c>
      <c r="K80" s="81">
        <f t="shared" si="32"/>
        <v>0</v>
      </c>
      <c r="L80" s="81">
        <f t="shared" si="32"/>
        <v>2003564.27</v>
      </c>
      <c r="M80" s="81">
        <f t="shared" si="32"/>
        <v>65464.26999999999</v>
      </c>
      <c r="N80" s="81">
        <f t="shared" si="32"/>
        <v>1938100</v>
      </c>
      <c r="O80" s="81">
        <f t="shared" si="32"/>
        <v>0</v>
      </c>
      <c r="P80" s="81">
        <f t="shared" si="32"/>
        <v>78558.23</v>
      </c>
      <c r="Q80" s="81">
        <f t="shared" si="32"/>
        <v>1859541.77</v>
      </c>
    </row>
    <row r="81" spans="1:19">
      <c r="A81" s="54" t="s">
        <v>32</v>
      </c>
      <c r="B81" s="48"/>
      <c r="C81" s="48"/>
      <c r="D81" s="43"/>
      <c r="E81" s="173"/>
      <c r="F81" s="49"/>
      <c r="G81" s="81">
        <f>G76+G88</f>
        <v>262026.86</v>
      </c>
      <c r="H81" s="81">
        <f t="shared" si="32"/>
        <v>1317.97</v>
      </c>
      <c r="I81" s="81">
        <f t="shared" si="32"/>
        <v>0</v>
      </c>
      <c r="J81" s="81">
        <f t="shared" si="32"/>
        <v>0</v>
      </c>
      <c r="K81" s="81">
        <f t="shared" si="32"/>
        <v>0</v>
      </c>
      <c r="L81" s="81">
        <f t="shared" si="32"/>
        <v>263344.82999999996</v>
      </c>
      <c r="M81" s="81">
        <f t="shared" si="32"/>
        <v>2.59</v>
      </c>
      <c r="N81" s="81">
        <f t="shared" si="32"/>
        <v>263342.24</v>
      </c>
      <c r="O81" s="81">
        <f t="shared" si="32"/>
        <v>0</v>
      </c>
      <c r="P81" s="81">
        <f t="shared" si="32"/>
        <v>0</v>
      </c>
      <c r="Q81" s="81">
        <f t="shared" si="32"/>
        <v>263342.24</v>
      </c>
    </row>
    <row r="82" spans="1:19">
      <c r="A82" s="47"/>
      <c r="B82" s="48"/>
      <c r="C82" s="48"/>
      <c r="D82" s="43"/>
      <c r="E82" s="65">
        <v>134577837</v>
      </c>
      <c r="F82" s="43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9">
      <c r="A83" s="49" t="s">
        <v>15</v>
      </c>
      <c r="B83" s="48">
        <v>0.5867</v>
      </c>
      <c r="C83" s="48">
        <v>0</v>
      </c>
      <c r="D83" s="43">
        <v>34069</v>
      </c>
      <c r="E83" s="173">
        <f>G83/B83*100</f>
        <v>49621150.502812341</v>
      </c>
      <c r="F83" s="43">
        <v>3162759016</v>
      </c>
      <c r="G83" s="53">
        <v>291127.28999999998</v>
      </c>
      <c r="H83" s="53">
        <v>18402467.940000001</v>
      </c>
      <c r="I83" s="53">
        <v>0</v>
      </c>
      <c r="J83" s="53">
        <v>137851.07999999999</v>
      </c>
      <c r="K83" s="53">
        <v>304.02</v>
      </c>
      <c r="L83" s="53">
        <f>G83+H83+I83-J83+K83</f>
        <v>18556048.170000002</v>
      </c>
      <c r="M83" s="53">
        <v>5698540.3099999996</v>
      </c>
      <c r="N83" s="53">
        <f>L83-M83</f>
        <v>12857507.860000003</v>
      </c>
      <c r="O83" s="53">
        <v>0</v>
      </c>
      <c r="P83" s="53">
        <v>0</v>
      </c>
      <c r="Q83" s="53">
        <f>N83-O83-P83</f>
        <v>12857507.860000003</v>
      </c>
    </row>
    <row r="84" spans="1:19">
      <c r="A84" s="47" t="s">
        <v>16</v>
      </c>
      <c r="B84" s="48">
        <f>B83</f>
        <v>0.5867</v>
      </c>
      <c r="C84" s="48">
        <f>C83</f>
        <v>0</v>
      </c>
      <c r="D84" s="43"/>
      <c r="E84" s="173"/>
      <c r="F84" s="65">
        <f>IF(E82&gt;E83,E82-E83,0)</f>
        <v>84956686.497187659</v>
      </c>
      <c r="G84" s="53">
        <f>F84*(B84-C84)/100</f>
        <v>498440.87967900001</v>
      </c>
      <c r="H84" s="53"/>
      <c r="I84" s="53">
        <f>F84*C84/100</f>
        <v>0</v>
      </c>
      <c r="J84" s="53"/>
      <c r="K84" s="53"/>
      <c r="L84" s="53">
        <f>G84+H84+I84-J84+K84</f>
        <v>498440.87967900001</v>
      </c>
      <c r="M84" s="53"/>
      <c r="N84" s="53">
        <f>L84-M84</f>
        <v>498440.87967900001</v>
      </c>
      <c r="O84" s="53"/>
      <c r="P84" s="53"/>
      <c r="Q84" s="53">
        <f>N84-O84-P84</f>
        <v>498440.87967900001</v>
      </c>
    </row>
    <row r="85" spans="1:19">
      <c r="A85" s="47" t="s">
        <v>17</v>
      </c>
      <c r="B85" s="48">
        <f>B83</f>
        <v>0.5867</v>
      </c>
      <c r="C85" s="48">
        <f>C83</f>
        <v>0</v>
      </c>
      <c r="D85" s="43"/>
      <c r="E85" s="173"/>
      <c r="F85" s="66">
        <v>158372931</v>
      </c>
      <c r="G85" s="53"/>
      <c r="H85" s="53">
        <f>F85*(B85-C85)/100</f>
        <v>929173.98617699998</v>
      </c>
      <c r="I85" s="53">
        <f>F85*C85/100</f>
        <v>0</v>
      </c>
      <c r="J85" s="53">
        <v>0</v>
      </c>
      <c r="K85" s="53">
        <v>0</v>
      </c>
      <c r="L85" s="53">
        <f>G85+H85+I85-J85+K85</f>
        <v>929173.98617699998</v>
      </c>
      <c r="M85" s="53">
        <v>0</v>
      </c>
      <c r="N85" s="53">
        <f>L85-M85</f>
        <v>929173.98617699998</v>
      </c>
      <c r="O85" s="53">
        <v>0</v>
      </c>
      <c r="P85" s="53">
        <v>0</v>
      </c>
      <c r="Q85" s="53">
        <f>N85-O85-P85</f>
        <v>929173.98617699998</v>
      </c>
    </row>
    <row r="86" spans="1:19">
      <c r="A86" s="47" t="s">
        <v>18</v>
      </c>
      <c r="B86" s="48"/>
      <c r="C86" s="48"/>
      <c r="D86" s="43"/>
      <c r="E86" s="173"/>
      <c r="F86" s="4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</row>
    <row r="87" spans="1:19">
      <c r="A87" s="67" t="s">
        <v>19</v>
      </c>
      <c r="B87" s="48">
        <f>B83</f>
        <v>0.5867</v>
      </c>
      <c r="C87" s="48">
        <f>C83</f>
        <v>0</v>
      </c>
      <c r="D87" s="43"/>
      <c r="E87" s="173"/>
      <c r="F87" s="43">
        <v>149888848.36000001</v>
      </c>
      <c r="G87" s="53">
        <f>437487.07*S90</f>
        <v>192020.396475649</v>
      </c>
      <c r="H87" s="53">
        <f>1904186.04*S90</f>
        <v>835779.11997306801</v>
      </c>
      <c r="I87" s="53">
        <v>0</v>
      </c>
      <c r="J87" s="53">
        <f>338108.84*S90</f>
        <v>148401.62820977034</v>
      </c>
      <c r="K87" s="53">
        <v>0</v>
      </c>
      <c r="L87" s="53">
        <f t="shared" ref="L87" si="33">G87+H87+I87-J87+K87</f>
        <v>879397.88823894667</v>
      </c>
      <c r="M87" s="53">
        <f>65464.27*S90</f>
        <v>28733.363663499662</v>
      </c>
      <c r="N87" s="53">
        <f>L87-M87</f>
        <v>850664.52457544697</v>
      </c>
      <c r="O87" s="53">
        <v>0</v>
      </c>
      <c r="P87" s="53">
        <f>78558.23*S90</f>
        <v>34480.521838108776</v>
      </c>
      <c r="Q87" s="53">
        <f>N87-O87-P87</f>
        <v>816184.00273733819</v>
      </c>
      <c r="S87" s="381">
        <f>+Q87+Q75</f>
        <v>1859541.77</v>
      </c>
    </row>
    <row r="88" spans="1:19">
      <c r="A88" s="67" t="s">
        <v>20</v>
      </c>
      <c r="B88" s="48">
        <f>B83</f>
        <v>0.5867</v>
      </c>
      <c r="C88" s="48">
        <f>C83</f>
        <v>0</v>
      </c>
      <c r="D88" s="43"/>
      <c r="E88" s="173"/>
      <c r="F88" s="43">
        <v>19701161.84</v>
      </c>
      <c r="G88" s="53">
        <f>262026.86*S90</f>
        <v>115007.9739373083</v>
      </c>
      <c r="H88" s="53">
        <f>1317.97*S90</f>
        <v>578.47908954888908</v>
      </c>
      <c r="I88" s="53">
        <v>0</v>
      </c>
      <c r="J88" s="53">
        <v>0</v>
      </c>
      <c r="K88" s="53">
        <v>0</v>
      </c>
      <c r="L88" s="53">
        <f t="shared" ref="L88" si="34">G88+H88+I88-J88+K88</f>
        <v>115586.45302685718</v>
      </c>
      <c r="M88" s="53">
        <f>2.59*S90</f>
        <v>1.1367943442806911</v>
      </c>
      <c r="N88" s="53">
        <f>L88-M88</f>
        <v>115585.31623251291</v>
      </c>
      <c r="O88" s="53">
        <v>0</v>
      </c>
      <c r="P88" s="53"/>
      <c r="Q88" s="53">
        <f>N88-O88-P88</f>
        <v>115585.31623251291</v>
      </c>
      <c r="S88" s="53"/>
    </row>
    <row r="89" spans="1:19">
      <c r="A89" s="47"/>
      <c r="B89" s="48"/>
      <c r="C89" s="48"/>
      <c r="D89" s="43"/>
      <c r="E89" s="173"/>
      <c r="F89" s="4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1:19" s="50" customFormat="1">
      <c r="A90" s="57" t="str">
        <f>"TOTAL "&amp;A81</f>
        <v>TOTAL SCHOOL DEBT</v>
      </c>
      <c r="B90" s="51">
        <f>B83</f>
        <v>0.5867</v>
      </c>
      <c r="C90" s="51">
        <f>C83</f>
        <v>0</v>
      </c>
      <c r="D90" s="78">
        <f t="shared" ref="D90:Q90" si="35">SUM(D83:D85,D87:D88)</f>
        <v>34069</v>
      </c>
      <c r="E90" s="206"/>
      <c r="F90" s="78">
        <f>SUM(F83:F85,F87:F88)</f>
        <v>3575678643.6971879</v>
      </c>
      <c r="G90" s="79">
        <f t="shared" si="35"/>
        <v>1096596.5400919574</v>
      </c>
      <c r="H90" s="79">
        <f t="shared" si="35"/>
        <v>20167999.52523962</v>
      </c>
      <c r="I90" s="79">
        <f t="shared" si="35"/>
        <v>0</v>
      </c>
      <c r="J90" s="79">
        <f t="shared" si="35"/>
        <v>286252.70820977032</v>
      </c>
      <c r="K90" s="79">
        <f t="shared" si="35"/>
        <v>304.02</v>
      </c>
      <c r="L90" s="79">
        <f t="shared" si="35"/>
        <v>20978647.37712181</v>
      </c>
      <c r="M90" s="79">
        <f t="shared" si="35"/>
        <v>5727274.8104578434</v>
      </c>
      <c r="N90" s="79">
        <f t="shared" si="35"/>
        <v>15251372.566663964</v>
      </c>
      <c r="O90" s="79">
        <f t="shared" si="35"/>
        <v>0</v>
      </c>
      <c r="P90" s="79">
        <f t="shared" si="35"/>
        <v>34480.521838108776</v>
      </c>
      <c r="Q90" s="79">
        <f t="shared" si="35"/>
        <v>15216892.044825854</v>
      </c>
      <c r="S90" s="183">
        <f>B90/B92</f>
        <v>0.43891673524351016</v>
      </c>
    </row>
    <row r="91" spans="1:19">
      <c r="A91" s="47"/>
      <c r="B91" s="48"/>
      <c r="C91" s="48"/>
      <c r="D91" s="43"/>
      <c r="E91" s="173"/>
      <c r="F91" s="4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1:19" s="50" customFormat="1" ht="13.5" thickBot="1">
      <c r="A92" s="60" t="str">
        <f>"TOTAL "&amp;A69</f>
        <v>TOTAL SCHOOL DISTRICT</v>
      </c>
      <c r="B92" s="68">
        <f>B78+B90</f>
        <v>1.3367</v>
      </c>
      <c r="C92" s="68">
        <f>C78+C90</f>
        <v>0</v>
      </c>
      <c r="D92" s="69">
        <f>D78</f>
        <v>34069</v>
      </c>
      <c r="E92" s="204"/>
      <c r="F92" s="69">
        <f>F78</f>
        <v>3575678342.2000003</v>
      </c>
      <c r="G92" s="70">
        <f t="shared" ref="G92:Q92" si="36">G78+G90</f>
        <v>2498415.8771790001</v>
      </c>
      <c r="H92" s="70">
        <f t="shared" si="36"/>
        <v>45949489.558677003</v>
      </c>
      <c r="I92" s="70">
        <f t="shared" si="36"/>
        <v>0</v>
      </c>
      <c r="J92" s="70">
        <f t="shared" si="36"/>
        <v>652180.47999999998</v>
      </c>
      <c r="K92" s="70">
        <f t="shared" si="36"/>
        <v>692.63</v>
      </c>
      <c r="L92" s="70">
        <f t="shared" si="36"/>
        <v>47796417.585856006</v>
      </c>
      <c r="M92" s="70">
        <f t="shared" si="36"/>
        <v>13048654.41</v>
      </c>
      <c r="N92" s="70">
        <f t="shared" si="36"/>
        <v>34747763.175856009</v>
      </c>
      <c r="O92" s="70">
        <f t="shared" si="36"/>
        <v>0</v>
      </c>
      <c r="P92" s="70">
        <f t="shared" si="36"/>
        <v>78558.23</v>
      </c>
      <c r="Q92" s="70">
        <f t="shared" si="36"/>
        <v>34669204.945856005</v>
      </c>
    </row>
    <row r="93" spans="1:19">
      <c r="A93" s="150" t="s">
        <v>355</v>
      </c>
      <c r="B93" s="48"/>
      <c r="C93" s="48"/>
      <c r="D93" s="43"/>
      <c r="E93" s="173"/>
      <c r="F93" s="64">
        <v>3576591063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1:19">
      <c r="A94" s="151" t="s">
        <v>30</v>
      </c>
      <c r="B94" s="51"/>
      <c r="C94" s="51"/>
      <c r="D94" s="52"/>
      <c r="E94" s="203"/>
      <c r="F94" s="152">
        <f>F92-F93</f>
        <v>-912720.7999997139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1:19">
      <c r="A95" s="54" t="s">
        <v>175</v>
      </c>
      <c r="B95" s="48"/>
      <c r="C95" s="48"/>
      <c r="D95" s="43"/>
      <c r="E95" s="173"/>
      <c r="F95" s="43"/>
      <c r="G95" s="64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1:19">
      <c r="A96" s="50"/>
      <c r="B96" s="51"/>
      <c r="C96" s="51"/>
      <c r="D96" s="52"/>
      <c r="E96" s="386">
        <v>54623822</v>
      </c>
      <c r="F96" s="52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1:19">
      <c r="A97" s="49" t="s">
        <v>15</v>
      </c>
      <c r="B97" s="475">
        <v>0.67500000000000004</v>
      </c>
      <c r="C97" s="48">
        <v>0</v>
      </c>
      <c r="D97" s="43">
        <v>9825</v>
      </c>
      <c r="E97" s="173">
        <f>G97/B97*100</f>
        <v>20142537.777777776</v>
      </c>
      <c r="F97" s="43">
        <v>1323359159</v>
      </c>
      <c r="G97" s="53">
        <v>135962.13</v>
      </c>
      <c r="H97" s="53">
        <v>8844327.4900000002</v>
      </c>
      <c r="I97" s="53">
        <v>0</v>
      </c>
      <c r="J97" s="53">
        <v>47206.04</v>
      </c>
      <c r="K97" s="53">
        <v>57.05</v>
      </c>
      <c r="L97" s="53">
        <f>G97+H97+I97-J97+K97</f>
        <v>8933140.6300000027</v>
      </c>
      <c r="M97" s="53">
        <v>3335057.68</v>
      </c>
      <c r="N97" s="53">
        <f>L97-M97</f>
        <v>5598082.950000003</v>
      </c>
      <c r="O97" s="53">
        <v>0</v>
      </c>
      <c r="P97" s="53">
        <v>0</v>
      </c>
      <c r="Q97" s="53">
        <f>N97-O97-P97</f>
        <v>5598082.950000003</v>
      </c>
      <c r="S97" s="53">
        <f>+Q97/B97</f>
        <v>8293456.2222222257</v>
      </c>
    </row>
    <row r="98" spans="1:19">
      <c r="A98" s="47" t="s">
        <v>16</v>
      </c>
      <c r="B98" s="475">
        <f>B97</f>
        <v>0.67500000000000004</v>
      </c>
      <c r="C98" s="48">
        <f>C97</f>
        <v>0</v>
      </c>
      <c r="D98" s="43"/>
      <c r="E98" s="173"/>
      <c r="F98" s="65">
        <f>IF(E96&gt;E97,E96-E97,0)</f>
        <v>34481284.222222224</v>
      </c>
      <c r="G98" s="53">
        <f>F98*(B98-C98)/100</f>
        <v>232748.66850000003</v>
      </c>
      <c r="H98" s="53"/>
      <c r="I98" s="53">
        <f>F98*C98/100</f>
        <v>0</v>
      </c>
      <c r="J98" s="53"/>
      <c r="K98" s="53"/>
      <c r="L98" s="53">
        <f>G98+H98+I98-J98+K98</f>
        <v>232748.66850000003</v>
      </c>
      <c r="M98" s="53"/>
      <c r="N98" s="53">
        <f>L98-M98</f>
        <v>232748.66850000003</v>
      </c>
      <c r="O98" s="53"/>
      <c r="P98" s="53"/>
      <c r="Q98" s="53">
        <f>N98-O98-P98</f>
        <v>232748.66850000003</v>
      </c>
      <c r="S98" s="49">
        <f>+S97*0.6735</f>
        <v>5585642.7656666692</v>
      </c>
    </row>
    <row r="99" spans="1:19">
      <c r="A99" s="47" t="s">
        <v>17</v>
      </c>
      <c r="B99" s="475">
        <f>B97</f>
        <v>0.67500000000000004</v>
      </c>
      <c r="C99" s="48">
        <f>C97</f>
        <v>0</v>
      </c>
      <c r="D99" s="43"/>
      <c r="E99" s="173"/>
      <c r="F99" s="66">
        <v>60418315</v>
      </c>
      <c r="G99" s="53"/>
      <c r="H99" s="53">
        <f>F99*(B99-C99)/100</f>
        <v>407823.62624999997</v>
      </c>
      <c r="I99" s="53">
        <f>F99*C99/100</f>
        <v>0</v>
      </c>
      <c r="J99" s="53">
        <v>0</v>
      </c>
      <c r="K99" s="53">
        <v>0</v>
      </c>
      <c r="L99" s="53">
        <f>G99+H99+I99-J99+K99</f>
        <v>407823.62624999997</v>
      </c>
      <c r="M99" s="53">
        <v>0</v>
      </c>
      <c r="N99" s="53">
        <f>L99-M99</f>
        <v>407823.62624999997</v>
      </c>
      <c r="O99" s="53">
        <v>0</v>
      </c>
      <c r="P99" s="53">
        <v>0</v>
      </c>
      <c r="Q99" s="53">
        <f>N99-O99-P99</f>
        <v>407823.62624999997</v>
      </c>
    </row>
    <row r="100" spans="1:19">
      <c r="A100" s="47" t="s">
        <v>18</v>
      </c>
      <c r="B100" s="475"/>
      <c r="C100" s="48"/>
      <c r="D100" s="43"/>
      <c r="E100" s="173"/>
      <c r="F100" s="4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S100" s="53">
        <f>+M97/B97</f>
        <v>4940826.1925925929</v>
      </c>
    </row>
    <row r="101" spans="1:19">
      <c r="A101" s="67" t="s">
        <v>19</v>
      </c>
      <c r="B101" s="475">
        <f>B97</f>
        <v>0.67500000000000004</v>
      </c>
      <c r="C101" s="48">
        <f>C97</f>
        <v>0</v>
      </c>
      <c r="D101" s="43"/>
      <c r="E101" s="173"/>
      <c r="F101" s="43">
        <v>30335039.109999999</v>
      </c>
      <c r="G101" s="53">
        <v>14077.07</v>
      </c>
      <c r="H101" s="53">
        <v>190705.49</v>
      </c>
      <c r="I101" s="53">
        <v>0</v>
      </c>
      <c r="J101" s="53">
        <v>3116.43</v>
      </c>
      <c r="K101" s="53">
        <v>0</v>
      </c>
      <c r="L101" s="53">
        <f>G101+H101+I101-J101+K101</f>
        <v>201666.13</v>
      </c>
      <c r="M101" s="53">
        <v>36061.26</v>
      </c>
      <c r="N101" s="53">
        <f>L101-M101</f>
        <v>165604.87</v>
      </c>
      <c r="O101" s="53">
        <v>0</v>
      </c>
      <c r="P101" s="53">
        <v>39669.94</v>
      </c>
      <c r="Q101" s="53">
        <f>N101-O101-P101</f>
        <v>125934.93</v>
      </c>
    </row>
    <row r="102" spans="1:19">
      <c r="A102" s="67" t="s">
        <v>20</v>
      </c>
      <c r="B102" s="475">
        <f>B97</f>
        <v>0.67500000000000004</v>
      </c>
      <c r="C102" s="48">
        <f>C97</f>
        <v>0</v>
      </c>
      <c r="D102" s="43"/>
      <c r="E102" s="173"/>
      <c r="F102" s="43">
        <v>2812898.91</v>
      </c>
      <c r="G102" s="53">
        <v>19015.599999999999</v>
      </c>
      <c r="H102" s="53">
        <v>7.89</v>
      </c>
      <c r="I102" s="53">
        <v>0</v>
      </c>
      <c r="J102" s="53">
        <v>0</v>
      </c>
      <c r="K102" s="53">
        <v>0</v>
      </c>
      <c r="L102" s="53">
        <f>G102+H102+I102-J102+K102</f>
        <v>19023.489999999998</v>
      </c>
      <c r="M102" s="53">
        <v>0</v>
      </c>
      <c r="N102" s="53">
        <f>L102-M102</f>
        <v>19023.489999999998</v>
      </c>
      <c r="O102" s="53">
        <v>0</v>
      </c>
      <c r="P102" s="53"/>
      <c r="Q102" s="53">
        <f>N102-O102-P102</f>
        <v>19023.489999999998</v>
      </c>
    </row>
    <row r="103" spans="1:19">
      <c r="A103" s="47"/>
      <c r="B103" s="475"/>
      <c r="C103" s="48"/>
      <c r="D103" s="43"/>
      <c r="E103" s="173"/>
      <c r="F103" s="4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1:19" s="50" customFormat="1" ht="20.25" customHeight="1" thickBot="1">
      <c r="A104" s="60" t="str">
        <f>"TOTAL "&amp;A95</f>
        <v>TOTAL CITY OF FERNLEY</v>
      </c>
      <c r="B104" s="477">
        <f>B97</f>
        <v>0.67500000000000004</v>
      </c>
      <c r="C104" s="68">
        <f>C97</f>
        <v>0</v>
      </c>
      <c r="D104" s="69">
        <f t="shared" ref="D104:Q104" si="37">SUM(D97:D99,D101:D102)</f>
        <v>9825</v>
      </c>
      <c r="E104" s="204"/>
      <c r="F104" s="69">
        <f t="shared" si="37"/>
        <v>1451406696.2422223</v>
      </c>
      <c r="G104" s="70">
        <f t="shared" si="37"/>
        <v>401803.46850000002</v>
      </c>
      <c r="H104" s="70">
        <f t="shared" si="37"/>
        <v>9442864.4962500017</v>
      </c>
      <c r="I104" s="70">
        <f t="shared" si="37"/>
        <v>0</v>
      </c>
      <c r="J104" s="70">
        <f t="shared" si="37"/>
        <v>50322.47</v>
      </c>
      <c r="K104" s="70">
        <f t="shared" si="37"/>
        <v>57.05</v>
      </c>
      <c r="L104" s="70">
        <f t="shared" si="37"/>
        <v>9794402.544750005</v>
      </c>
      <c r="M104" s="70">
        <f t="shared" si="37"/>
        <v>3371118.94</v>
      </c>
      <c r="N104" s="70">
        <f t="shared" si="37"/>
        <v>6423283.6047500027</v>
      </c>
      <c r="O104" s="70">
        <f t="shared" si="37"/>
        <v>0</v>
      </c>
      <c r="P104" s="70">
        <f t="shared" si="37"/>
        <v>39669.94</v>
      </c>
      <c r="Q104" s="70">
        <f t="shared" si="37"/>
        <v>6383613.6647500023</v>
      </c>
    </row>
    <row r="105" spans="1:19">
      <c r="A105" s="150" t="s">
        <v>355</v>
      </c>
      <c r="B105" s="48"/>
      <c r="C105" s="48"/>
      <c r="D105" s="43"/>
      <c r="E105" s="173"/>
      <c r="F105" s="64">
        <v>1451562899</v>
      </c>
      <c r="G105" s="53"/>
      <c r="H105" s="53"/>
      <c r="I105" s="53"/>
      <c r="J105" s="53"/>
      <c r="K105" s="53"/>
      <c r="L105" s="53"/>
      <c r="M105" s="292">
        <f>M104/L104</f>
        <v>0.34418831823560153</v>
      </c>
      <c r="N105" s="53"/>
      <c r="O105" s="53"/>
      <c r="P105" s="53"/>
      <c r="Q105" s="53"/>
    </row>
    <row r="106" spans="1:19">
      <c r="A106" s="151" t="s">
        <v>30</v>
      </c>
      <c r="B106" s="51"/>
      <c r="C106" s="51"/>
      <c r="D106" s="52"/>
      <c r="E106" s="203"/>
      <c r="F106" s="152">
        <f>F104-F105</f>
        <v>-156202.75777769089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</row>
    <row r="107" spans="1:19">
      <c r="A107" s="54" t="s">
        <v>176</v>
      </c>
      <c r="B107" s="51"/>
      <c r="C107" s="51"/>
      <c r="D107" s="52"/>
      <c r="E107" s="203"/>
      <c r="F107" s="52"/>
      <c r="G107" s="64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1:19">
      <c r="A108" s="47"/>
      <c r="B108" s="48"/>
      <c r="C108" s="48"/>
      <c r="D108" s="43"/>
      <c r="E108" s="65">
        <v>13474703</v>
      </c>
      <c r="F108" s="4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1:19">
      <c r="A109" s="49" t="s">
        <v>15</v>
      </c>
      <c r="B109" s="48">
        <v>0.40439999999999998</v>
      </c>
      <c r="C109" s="48">
        <v>0</v>
      </c>
      <c r="D109" s="43">
        <v>1557</v>
      </c>
      <c r="E109" s="173">
        <f>G109/B109*100</f>
        <v>4483202.2749752719</v>
      </c>
      <c r="F109" s="43">
        <v>125160862</v>
      </c>
      <c r="G109" s="53">
        <v>18130.07</v>
      </c>
      <c r="H109" s="53">
        <v>489482.17</v>
      </c>
      <c r="I109" s="53">
        <v>0</v>
      </c>
      <c r="J109" s="53">
        <v>1463.04</v>
      </c>
      <c r="K109" s="53">
        <v>6.84</v>
      </c>
      <c r="L109" s="53">
        <f>G109+H109+I109-J109+K109</f>
        <v>506156.04000000004</v>
      </c>
      <c r="M109" s="53">
        <v>97069.7</v>
      </c>
      <c r="N109" s="53">
        <f>L109-M109</f>
        <v>409086.34</v>
      </c>
      <c r="O109" s="53">
        <v>0</v>
      </c>
      <c r="P109" s="53">
        <v>0</v>
      </c>
      <c r="Q109" s="53">
        <f>N109-O109-P109</f>
        <v>409086.34</v>
      </c>
    </row>
    <row r="110" spans="1:19">
      <c r="A110" s="47" t="s">
        <v>16</v>
      </c>
      <c r="B110" s="48">
        <f>B109</f>
        <v>0.40439999999999998</v>
      </c>
      <c r="C110" s="48">
        <f>C109</f>
        <v>0</v>
      </c>
      <c r="D110" s="43"/>
      <c r="E110" s="173"/>
      <c r="F110" s="65">
        <f>IF(E108&gt;E109,E108-E109,0)</f>
        <v>8991500.7250247281</v>
      </c>
      <c r="G110" s="53">
        <f>F110*(B110-C110)/100</f>
        <v>36361.628932</v>
      </c>
      <c r="H110" s="53"/>
      <c r="I110" s="53">
        <f>F110*C110/100</f>
        <v>0</v>
      </c>
      <c r="J110" s="53"/>
      <c r="K110" s="53"/>
      <c r="L110" s="53">
        <f>G110+H110+I110-J110+K110</f>
        <v>36361.628932</v>
      </c>
      <c r="M110" s="53"/>
      <c r="N110" s="53">
        <f>L110-M110</f>
        <v>36361.628932</v>
      </c>
      <c r="O110" s="53"/>
      <c r="P110" s="53"/>
      <c r="Q110" s="53">
        <f>N110-O110-P110</f>
        <v>36361.628932</v>
      </c>
    </row>
    <row r="111" spans="1:19">
      <c r="A111" s="47" t="s">
        <v>17</v>
      </c>
      <c r="B111" s="48">
        <f>B109</f>
        <v>0.40439999999999998</v>
      </c>
      <c r="C111" s="48">
        <f>C109</f>
        <v>0</v>
      </c>
      <c r="D111" s="43"/>
      <c r="E111" s="173"/>
      <c r="F111" s="66">
        <v>35239294</v>
      </c>
      <c r="G111" s="53"/>
      <c r="H111" s="53">
        <f>F111*(B111-C111)/100</f>
        <v>142507.70493599999</v>
      </c>
      <c r="I111" s="53">
        <f>F111*C111/100</f>
        <v>0</v>
      </c>
      <c r="J111" s="53">
        <v>0</v>
      </c>
      <c r="K111" s="53">
        <v>0</v>
      </c>
      <c r="L111" s="53">
        <f>G111+H111+I111-J111+K111</f>
        <v>142507.70493599999</v>
      </c>
      <c r="M111" s="53">
        <v>0</v>
      </c>
      <c r="N111" s="53">
        <f>L111-M111</f>
        <v>142507.70493599999</v>
      </c>
      <c r="O111" s="53">
        <v>0</v>
      </c>
      <c r="P111" s="53">
        <v>0</v>
      </c>
      <c r="Q111" s="53">
        <f>N111-O111-P111</f>
        <v>142507.70493599999</v>
      </c>
    </row>
    <row r="112" spans="1:19">
      <c r="A112" s="47" t="s">
        <v>18</v>
      </c>
      <c r="B112" s="48"/>
      <c r="C112" s="48"/>
      <c r="D112" s="43"/>
      <c r="E112" s="173"/>
      <c r="F112" s="4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>
      <c r="A113" s="67" t="s">
        <v>19</v>
      </c>
      <c r="B113" s="48">
        <f>B109</f>
        <v>0.40439999999999998</v>
      </c>
      <c r="C113" s="48">
        <f>C109</f>
        <v>0</v>
      </c>
      <c r="D113" s="43"/>
      <c r="E113" s="173"/>
      <c r="F113" s="43">
        <v>2423778.2999999998</v>
      </c>
      <c r="G113" s="53">
        <v>300.67</v>
      </c>
      <c r="H113" s="53">
        <v>9502.34</v>
      </c>
      <c r="I113" s="53">
        <v>0</v>
      </c>
      <c r="J113" s="53">
        <v>310.38</v>
      </c>
      <c r="K113" s="53">
        <v>0</v>
      </c>
      <c r="L113" s="53">
        <f>G113+H113+I113-J113+K113</f>
        <v>9492.630000000001</v>
      </c>
      <c r="M113" s="53">
        <v>414.14</v>
      </c>
      <c r="N113" s="53">
        <f>L113-M113</f>
        <v>9078.4900000000016</v>
      </c>
      <c r="O113" s="53">
        <v>0</v>
      </c>
      <c r="P113" s="53">
        <v>0</v>
      </c>
      <c r="Q113" s="53">
        <f>N113-O113-P113</f>
        <v>9078.4900000000016</v>
      </c>
    </row>
    <row r="114" spans="1:17">
      <c r="A114" s="67" t="s">
        <v>20</v>
      </c>
      <c r="B114" s="48">
        <f>B109</f>
        <v>0.40439999999999998</v>
      </c>
      <c r="C114" s="48">
        <f>C109</f>
        <v>0</v>
      </c>
      <c r="D114" s="43"/>
      <c r="E114" s="173"/>
      <c r="F114" s="43">
        <v>441130.93</v>
      </c>
      <c r="G114" s="53">
        <v>1783.93</v>
      </c>
      <c r="H114" s="53"/>
      <c r="I114" s="53">
        <v>0</v>
      </c>
      <c r="J114" s="53">
        <v>0</v>
      </c>
      <c r="K114" s="53">
        <v>0</v>
      </c>
      <c r="L114" s="53">
        <f>G114+H114+I114-J114+K114</f>
        <v>1783.93</v>
      </c>
      <c r="M114" s="53">
        <v>0</v>
      </c>
      <c r="N114" s="53">
        <f>L114-M114</f>
        <v>1783.93</v>
      </c>
      <c r="O114" s="53">
        <v>0</v>
      </c>
      <c r="P114" s="53">
        <v>0</v>
      </c>
      <c r="Q114" s="53">
        <f>N114-O114-P114</f>
        <v>1783.93</v>
      </c>
    </row>
    <row r="115" spans="1:17">
      <c r="A115" s="47"/>
      <c r="B115" s="48"/>
      <c r="C115" s="48"/>
      <c r="D115" s="43"/>
      <c r="E115" s="173"/>
      <c r="F115" s="4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17" s="50" customFormat="1" ht="13.5" thickBot="1">
      <c r="A116" s="60" t="str">
        <f>"TOTAL "&amp;A107</f>
        <v>TOTAL CITY OF YERINGTON</v>
      </c>
      <c r="B116" s="68">
        <f>B109</f>
        <v>0.40439999999999998</v>
      </c>
      <c r="C116" s="68">
        <f>C109</f>
        <v>0</v>
      </c>
      <c r="D116" s="69">
        <f t="shared" ref="D116:Q116" si="38">SUM(D109:D111,D113:D114)</f>
        <v>1557</v>
      </c>
      <c r="E116" s="204"/>
      <c r="F116" s="69">
        <f t="shared" si="38"/>
        <v>172256565.95502475</v>
      </c>
      <c r="G116" s="70">
        <f t="shared" si="38"/>
        <v>56576.298931999998</v>
      </c>
      <c r="H116" s="70">
        <f t="shared" si="38"/>
        <v>641492.21493599995</v>
      </c>
      <c r="I116" s="70">
        <f t="shared" si="38"/>
        <v>0</v>
      </c>
      <c r="J116" s="70">
        <f t="shared" si="38"/>
        <v>1773.42</v>
      </c>
      <c r="K116" s="70">
        <f t="shared" si="38"/>
        <v>6.84</v>
      </c>
      <c r="L116" s="70">
        <f t="shared" si="38"/>
        <v>696301.93386800005</v>
      </c>
      <c r="M116" s="70">
        <f t="shared" si="38"/>
        <v>97483.839999999997</v>
      </c>
      <c r="N116" s="70">
        <f t="shared" si="38"/>
        <v>598818.09386800008</v>
      </c>
      <c r="O116" s="70">
        <f t="shared" si="38"/>
        <v>0</v>
      </c>
      <c r="P116" s="70">
        <f t="shared" si="38"/>
        <v>0</v>
      </c>
      <c r="Q116" s="70">
        <f t="shared" si="38"/>
        <v>598818.09386800008</v>
      </c>
    </row>
    <row r="117" spans="1:17">
      <c r="A117" s="150" t="s">
        <v>355</v>
      </c>
      <c r="B117" s="48"/>
      <c r="C117" s="48"/>
      <c r="D117" s="43"/>
      <c r="E117" s="173"/>
      <c r="F117" s="64">
        <v>172222473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8" spans="1:17">
      <c r="A118" s="151" t="s">
        <v>30</v>
      </c>
      <c r="B118" s="51"/>
      <c r="C118" s="51"/>
      <c r="D118" s="52"/>
      <c r="E118" s="203"/>
      <c r="F118" s="152">
        <f>F116-F117</f>
        <v>34092.955024749041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</row>
    <row r="119" spans="1:17">
      <c r="A119" s="54" t="s">
        <v>36</v>
      </c>
      <c r="B119" s="48"/>
      <c r="C119" s="48"/>
      <c r="D119" s="43"/>
      <c r="E119" s="173"/>
      <c r="F119" s="43"/>
      <c r="G119" s="64"/>
      <c r="H119" s="53"/>
      <c r="I119" s="53"/>
      <c r="J119" s="53"/>
      <c r="K119" s="53"/>
      <c r="L119" s="53"/>
      <c r="M119" s="53"/>
      <c r="N119" s="53"/>
      <c r="O119" s="53"/>
      <c r="P119" s="53"/>
      <c r="Q119" s="53"/>
    </row>
    <row r="120" spans="1:17">
      <c r="A120" s="47"/>
      <c r="B120" s="48"/>
      <c r="C120" s="48"/>
      <c r="D120" s="43"/>
      <c r="E120" s="65">
        <v>51178098</v>
      </c>
      <c r="F120" s="4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>
      <c r="A121" s="49" t="s">
        <v>15</v>
      </c>
      <c r="B121" s="48">
        <v>0.03</v>
      </c>
      <c r="C121" s="48">
        <v>0</v>
      </c>
      <c r="D121" s="43">
        <v>17360</v>
      </c>
      <c r="E121" s="173">
        <f>G121/B121*100</f>
        <v>22239333.333333336</v>
      </c>
      <c r="F121" s="43">
        <v>1392594081</v>
      </c>
      <c r="G121" s="53">
        <v>6671.8</v>
      </c>
      <c r="H121" s="53">
        <v>413710.78</v>
      </c>
      <c r="I121" s="53">
        <v>0</v>
      </c>
      <c r="J121" s="53">
        <v>2603.36</v>
      </c>
      <c r="K121" s="53">
        <v>5.01</v>
      </c>
      <c r="L121" s="53">
        <f>G121+H121+I121-J121+K121</f>
        <v>417784.23000000004</v>
      </c>
      <c r="M121" s="53">
        <v>135482.15</v>
      </c>
      <c r="N121" s="53">
        <f>L121-M121</f>
        <v>282302.08000000007</v>
      </c>
      <c r="O121" s="53">
        <v>0</v>
      </c>
      <c r="P121" s="53">
        <v>0</v>
      </c>
      <c r="Q121" s="53">
        <f>N121-O121-P121</f>
        <v>282302.08000000007</v>
      </c>
    </row>
    <row r="122" spans="1:17">
      <c r="A122" s="47" t="s">
        <v>16</v>
      </c>
      <c r="B122" s="48">
        <f>B121</f>
        <v>0.03</v>
      </c>
      <c r="C122" s="48">
        <f>C121</f>
        <v>0</v>
      </c>
      <c r="D122" s="43"/>
      <c r="E122" s="173"/>
      <c r="F122" s="65">
        <f>IF(E120&gt;E121,E120-E121,0)</f>
        <v>28938764.666666664</v>
      </c>
      <c r="G122" s="53">
        <f>F122*(B122-C122)/100</f>
        <v>8681.6293999999998</v>
      </c>
      <c r="H122" s="53"/>
      <c r="I122" s="53">
        <f>F122*C122/100</f>
        <v>0</v>
      </c>
      <c r="J122" s="53"/>
      <c r="K122" s="53"/>
      <c r="L122" s="53">
        <f>G122+H122+I122-J122+K122</f>
        <v>8681.6293999999998</v>
      </c>
      <c r="M122" s="53"/>
      <c r="N122" s="53">
        <f>L122-M122</f>
        <v>8681.6293999999998</v>
      </c>
      <c r="O122" s="53"/>
      <c r="P122" s="53"/>
      <c r="Q122" s="53">
        <f>N122-O122-P122</f>
        <v>8681.6293999999998</v>
      </c>
    </row>
    <row r="123" spans="1:17">
      <c r="A123" s="47" t="s">
        <v>17</v>
      </c>
      <c r="B123" s="48">
        <f>B121</f>
        <v>0.03</v>
      </c>
      <c r="C123" s="48">
        <f>C121</f>
        <v>0</v>
      </c>
      <c r="D123" s="43"/>
      <c r="E123" s="173"/>
      <c r="F123" s="66">
        <v>31464204</v>
      </c>
      <c r="G123" s="53"/>
      <c r="H123" s="53">
        <f>F123*(B123-C123)/100</f>
        <v>9439.2612000000008</v>
      </c>
      <c r="I123" s="53">
        <f>F123*C123/100</f>
        <v>0</v>
      </c>
      <c r="J123" s="53">
        <v>0</v>
      </c>
      <c r="K123" s="53">
        <v>0</v>
      </c>
      <c r="L123" s="53">
        <f>G123+H123+I123-J123+K123</f>
        <v>9439.2612000000008</v>
      </c>
      <c r="M123" s="53">
        <v>0</v>
      </c>
      <c r="N123" s="53">
        <f>L123-M123</f>
        <v>9439.2612000000008</v>
      </c>
      <c r="O123" s="53">
        <v>0</v>
      </c>
      <c r="P123" s="53">
        <v>0</v>
      </c>
      <c r="Q123" s="53">
        <f>N123-O123-P123</f>
        <v>9439.2612000000008</v>
      </c>
    </row>
    <row r="124" spans="1:17">
      <c r="A124" s="47" t="s">
        <v>18</v>
      </c>
      <c r="B124" s="48"/>
      <c r="C124" s="48"/>
      <c r="D124" s="43"/>
      <c r="E124" s="173"/>
      <c r="F124" s="4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1:17">
      <c r="A125" s="67" t="s">
        <v>19</v>
      </c>
      <c r="B125" s="48">
        <f>B121</f>
        <v>0.03</v>
      </c>
      <c r="C125" s="48">
        <f>C121</f>
        <v>0</v>
      </c>
      <c r="D125" s="43"/>
      <c r="E125" s="173"/>
      <c r="F125" s="43">
        <v>48437438.990000002</v>
      </c>
      <c r="G125" s="53">
        <v>2262.48</v>
      </c>
      <c r="H125" s="53">
        <v>12269.29</v>
      </c>
      <c r="I125" s="53">
        <v>0</v>
      </c>
      <c r="J125" s="53">
        <v>1870.64</v>
      </c>
      <c r="K125" s="53">
        <v>0</v>
      </c>
      <c r="L125" s="53">
        <f>G125+H125+I125-J125+K125</f>
        <v>12661.130000000001</v>
      </c>
      <c r="M125" s="53">
        <v>515.42999999999995</v>
      </c>
      <c r="N125" s="53">
        <f>L125-M125</f>
        <v>12145.7</v>
      </c>
      <c r="O125" s="53">
        <v>0</v>
      </c>
      <c r="P125" s="53">
        <v>0</v>
      </c>
      <c r="Q125" s="53">
        <f>N125-O125-P125</f>
        <v>12145.7</v>
      </c>
    </row>
    <row r="126" spans="1:17">
      <c r="A126" s="67" t="s">
        <v>20</v>
      </c>
      <c r="B126" s="48">
        <f>B121</f>
        <v>0.03</v>
      </c>
      <c r="C126" s="48">
        <f>C121</f>
        <v>0</v>
      </c>
      <c r="D126" s="43"/>
      <c r="E126" s="173"/>
      <c r="F126" s="43">
        <v>6733193.6900000004</v>
      </c>
      <c r="G126" s="53">
        <v>2011.26</v>
      </c>
      <c r="H126" s="53">
        <v>8.58</v>
      </c>
      <c r="I126" s="53">
        <v>0</v>
      </c>
      <c r="J126" s="53">
        <v>0</v>
      </c>
      <c r="K126" s="53">
        <v>0</v>
      </c>
      <c r="L126" s="53">
        <f>G126+H126+I126-J126+K126</f>
        <v>2019.84</v>
      </c>
      <c r="M126" s="53">
        <v>0</v>
      </c>
      <c r="N126" s="53">
        <f>L126-M126</f>
        <v>2019.84</v>
      </c>
      <c r="O126" s="53">
        <v>0</v>
      </c>
      <c r="P126" s="53">
        <v>0</v>
      </c>
      <c r="Q126" s="53">
        <f>N126-O126-P126</f>
        <v>2019.84</v>
      </c>
    </row>
    <row r="127" spans="1:17">
      <c r="A127" s="47"/>
      <c r="B127" s="48"/>
      <c r="C127" s="48"/>
      <c r="D127" s="43"/>
      <c r="E127" s="173"/>
      <c r="F127" s="4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1:17" s="50" customFormat="1" ht="13.5" thickBot="1">
      <c r="A128" s="60" t="str">
        <f>"TOTAL "&amp;A119</f>
        <v>TOTAL CARSON WATER SUBCONSERVANCY DISTRICT</v>
      </c>
      <c r="B128" s="68">
        <f>B121</f>
        <v>0.03</v>
      </c>
      <c r="C128" s="68">
        <f>C121</f>
        <v>0</v>
      </c>
      <c r="D128" s="69">
        <f t="shared" ref="D128:Q128" si="39">SUM(D121:D123,D125:D126)</f>
        <v>17360</v>
      </c>
      <c r="E128" s="204"/>
      <c r="F128" s="69">
        <f t="shared" si="39"/>
        <v>1508167682.3466668</v>
      </c>
      <c r="G128" s="70">
        <f t="shared" si="39"/>
        <v>19627.169399999999</v>
      </c>
      <c r="H128" s="70">
        <f t="shared" si="39"/>
        <v>435427.91120000003</v>
      </c>
      <c r="I128" s="70">
        <f t="shared" si="39"/>
        <v>0</v>
      </c>
      <c r="J128" s="70">
        <f t="shared" si="39"/>
        <v>4474</v>
      </c>
      <c r="K128" s="70">
        <f t="shared" si="39"/>
        <v>5.01</v>
      </c>
      <c r="L128" s="70">
        <f t="shared" si="39"/>
        <v>450586.09060000005</v>
      </c>
      <c r="M128" s="70">
        <f t="shared" si="39"/>
        <v>135997.57999999999</v>
      </c>
      <c r="N128" s="70">
        <f t="shared" si="39"/>
        <v>314588.5106000001</v>
      </c>
      <c r="O128" s="70">
        <f t="shared" si="39"/>
        <v>0</v>
      </c>
      <c r="P128" s="70">
        <f t="shared" si="39"/>
        <v>0</v>
      </c>
      <c r="Q128" s="70">
        <f t="shared" si="39"/>
        <v>314588.5106000001</v>
      </c>
    </row>
    <row r="129" spans="1:19">
      <c r="A129" s="150" t="s">
        <v>355</v>
      </c>
      <c r="B129" s="48"/>
      <c r="C129" s="48"/>
      <c r="D129" s="43"/>
      <c r="E129" s="173"/>
      <c r="F129" s="64">
        <v>1502181803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</row>
    <row r="130" spans="1:19">
      <c r="A130" s="151" t="s">
        <v>30</v>
      </c>
      <c r="B130" s="51"/>
      <c r="C130" s="51"/>
      <c r="D130" s="52"/>
      <c r="E130" s="203"/>
      <c r="F130" s="152">
        <f>F128-F129</f>
        <v>5985879.3466668129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</row>
    <row r="131" spans="1:19">
      <c r="A131" s="54" t="s">
        <v>177</v>
      </c>
      <c r="B131" s="48"/>
      <c r="C131" s="48"/>
      <c r="D131" s="43"/>
      <c r="E131" s="173"/>
      <c r="F131" s="43"/>
      <c r="G131" s="64"/>
      <c r="H131" s="53"/>
      <c r="I131" s="53"/>
      <c r="J131" s="53"/>
      <c r="K131" s="53"/>
      <c r="L131" s="53"/>
      <c r="M131" s="53"/>
      <c r="N131" s="53"/>
      <c r="O131" s="53"/>
      <c r="P131" s="53"/>
      <c r="Q131" s="53"/>
    </row>
    <row r="132" spans="1:19">
      <c r="A132" s="47"/>
      <c r="B132" s="48"/>
      <c r="C132" s="48"/>
      <c r="D132" s="43"/>
      <c r="E132" s="65">
        <v>51185861</v>
      </c>
      <c r="F132" s="4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</row>
    <row r="133" spans="1:19">
      <c r="A133" s="49" t="s">
        <v>15</v>
      </c>
      <c r="B133" s="555">
        <v>0.93430000000000002</v>
      </c>
      <c r="C133" s="48">
        <v>0</v>
      </c>
      <c r="D133" s="43">
        <v>17587</v>
      </c>
      <c r="E133" s="173">
        <f>G133/B133*100</f>
        <v>22284121.802418921</v>
      </c>
      <c r="F133" s="43">
        <v>1394073306</v>
      </c>
      <c r="G133" s="53">
        <v>208200.55</v>
      </c>
      <c r="H133" s="53">
        <v>12897648.9</v>
      </c>
      <c r="I133" s="53">
        <v>0</v>
      </c>
      <c r="J133" s="53">
        <v>81057.27</v>
      </c>
      <c r="K133" s="53">
        <v>156.16999999999999</v>
      </c>
      <c r="L133" s="53">
        <f>G133+H133+I133-J133+K133</f>
        <v>13024948.350000001</v>
      </c>
      <c r="M133" s="53">
        <v>4255456.03</v>
      </c>
      <c r="N133" s="53">
        <f>L133-M133</f>
        <v>8769492.3200000003</v>
      </c>
      <c r="O133" s="53">
        <v>0</v>
      </c>
      <c r="P133" s="53">
        <v>0</v>
      </c>
      <c r="Q133" s="53">
        <f>N133-O133-P133</f>
        <v>8769492.3200000003</v>
      </c>
    </row>
    <row r="134" spans="1:19">
      <c r="A134" s="47" t="s">
        <v>16</v>
      </c>
      <c r="B134" s="475">
        <f>B133</f>
        <v>0.93430000000000002</v>
      </c>
      <c r="C134" s="48"/>
      <c r="D134" s="43"/>
      <c r="E134" s="173"/>
      <c r="F134" s="65">
        <f>IF(E132&gt;E133,E132-E133,0)</f>
        <v>28901739.197581079</v>
      </c>
      <c r="G134" s="53">
        <f>F134*(B134-C134)/100</f>
        <v>270028.94932300004</v>
      </c>
      <c r="H134" s="53"/>
      <c r="I134" s="53"/>
      <c r="J134" s="53"/>
      <c r="K134" s="53"/>
      <c r="L134" s="53">
        <f>G134+H134+I134-J134+K134</f>
        <v>270028.94932300004</v>
      </c>
      <c r="M134" s="53"/>
      <c r="N134" s="53">
        <f>L134-M134</f>
        <v>270028.94932300004</v>
      </c>
      <c r="O134" s="53"/>
      <c r="P134" s="53"/>
      <c r="Q134" s="53">
        <f>N134-O134-P134</f>
        <v>270028.94932300004</v>
      </c>
    </row>
    <row r="135" spans="1:19">
      <c r="A135" s="47" t="s">
        <v>17</v>
      </c>
      <c r="B135" s="475">
        <f>B133</f>
        <v>0.93430000000000002</v>
      </c>
      <c r="C135" s="48"/>
      <c r="D135" s="43"/>
      <c r="E135" s="173"/>
      <c r="F135" s="66">
        <v>31482766</v>
      </c>
      <c r="G135" s="53"/>
      <c r="H135" s="53">
        <f>F135*(B135-C135)/100</f>
        <v>294143.48273799999</v>
      </c>
      <c r="I135" s="53">
        <v>0</v>
      </c>
      <c r="J135" s="53">
        <v>0</v>
      </c>
      <c r="K135" s="53">
        <v>0</v>
      </c>
      <c r="L135" s="53">
        <f>G135+H135+I135-J135+K135</f>
        <v>294143.48273799999</v>
      </c>
      <c r="M135" s="53">
        <v>0</v>
      </c>
      <c r="N135" s="53">
        <f>L135-M135</f>
        <v>294143.48273799999</v>
      </c>
      <c r="O135" s="53">
        <v>0</v>
      </c>
      <c r="P135" s="53">
        <v>0</v>
      </c>
      <c r="Q135" s="53">
        <f>N135-O135-P135</f>
        <v>294143.48273799999</v>
      </c>
    </row>
    <row r="136" spans="1:19">
      <c r="A136" s="47" t="s">
        <v>18</v>
      </c>
      <c r="B136" s="475"/>
      <c r="C136" s="48"/>
      <c r="D136" s="43"/>
      <c r="E136" s="173"/>
      <c r="F136" s="4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</row>
    <row r="137" spans="1:19">
      <c r="A137" s="67" t="s">
        <v>19</v>
      </c>
      <c r="B137" s="475">
        <f>B133</f>
        <v>0.93430000000000002</v>
      </c>
      <c r="C137" s="48"/>
      <c r="D137" s="43"/>
      <c r="E137" s="173"/>
      <c r="F137" s="43">
        <v>56374786.090000004</v>
      </c>
      <c r="G137" s="53">
        <v>72338.73</v>
      </c>
      <c r="H137" s="53">
        <v>454923.33</v>
      </c>
      <c r="I137" s="53">
        <v>0</v>
      </c>
      <c r="J137" s="53">
        <v>59128.53</v>
      </c>
      <c r="K137" s="53">
        <v>0</v>
      </c>
      <c r="L137" s="53">
        <f>G137+H137+I137-J137+K137</f>
        <v>468133.53</v>
      </c>
      <c r="M137" s="53">
        <v>102910.41</v>
      </c>
      <c r="N137" s="53">
        <f>L137-M137</f>
        <v>365223.12</v>
      </c>
      <c r="O137" s="53">
        <v>0</v>
      </c>
      <c r="P137" s="53">
        <v>0</v>
      </c>
      <c r="Q137" s="53">
        <f>N137-O137-P137</f>
        <v>365223.12</v>
      </c>
    </row>
    <row r="138" spans="1:19">
      <c r="A138" s="67" t="s">
        <v>20</v>
      </c>
      <c r="B138" s="475">
        <f>B133</f>
        <v>0.93430000000000002</v>
      </c>
      <c r="C138" s="48"/>
      <c r="D138" s="43"/>
      <c r="E138" s="173"/>
      <c r="F138" s="43">
        <v>7266924.1500000004</v>
      </c>
      <c r="G138" s="53">
        <v>67766.350000000006</v>
      </c>
      <c r="H138" s="53">
        <v>331.78</v>
      </c>
      <c r="I138" s="53">
        <v>0</v>
      </c>
      <c r="J138" s="53">
        <v>0</v>
      </c>
      <c r="K138" s="53">
        <v>0</v>
      </c>
      <c r="L138" s="53">
        <f>G138+H138+I138-J138+K138</f>
        <v>68098.13</v>
      </c>
      <c r="M138" s="53">
        <v>0.65</v>
      </c>
      <c r="N138" s="53">
        <f>L138-M138</f>
        <v>68097.48000000001</v>
      </c>
      <c r="O138" s="53">
        <v>0</v>
      </c>
      <c r="P138" s="53">
        <v>0</v>
      </c>
      <c r="Q138" s="53">
        <f>N138-O138-P138</f>
        <v>68097.48000000001</v>
      </c>
    </row>
    <row r="139" spans="1:19">
      <c r="A139" s="47"/>
      <c r="B139" s="475"/>
      <c r="C139" s="48"/>
      <c r="D139" s="43"/>
      <c r="E139" s="173"/>
      <c r="F139" s="4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S139" s="14" t="s">
        <v>443</v>
      </c>
    </row>
    <row r="140" spans="1:19" s="50" customFormat="1" ht="13.5" thickBot="1">
      <c r="A140" s="60" t="str">
        <f>"TOTAL "&amp;A131</f>
        <v>TOTAL CENTRAL LYON COUNTY FIRE DISTRICT</v>
      </c>
      <c r="B140" s="477">
        <f>B133</f>
        <v>0.93430000000000002</v>
      </c>
      <c r="C140" s="68"/>
      <c r="D140" s="69">
        <f t="shared" ref="D140:Q140" si="40">SUM(D133:D135,D137:D138)</f>
        <v>17587</v>
      </c>
      <c r="E140" s="204"/>
      <c r="F140" s="69">
        <f t="shared" si="40"/>
        <v>1518099521.4375811</v>
      </c>
      <c r="G140" s="70">
        <f t="shared" si="40"/>
        <v>618334.57932300004</v>
      </c>
      <c r="H140" s="70">
        <f t="shared" si="40"/>
        <v>13647047.492737999</v>
      </c>
      <c r="I140" s="70">
        <f t="shared" si="40"/>
        <v>0</v>
      </c>
      <c r="J140" s="70">
        <f t="shared" si="40"/>
        <v>140185.79999999999</v>
      </c>
      <c r="K140" s="70">
        <f t="shared" si="40"/>
        <v>156.16999999999999</v>
      </c>
      <c r="L140" s="70">
        <f t="shared" si="40"/>
        <v>14125352.442061001</v>
      </c>
      <c r="M140" s="70">
        <f t="shared" si="40"/>
        <v>4358367.0900000008</v>
      </c>
      <c r="N140" s="70">
        <f t="shared" si="40"/>
        <v>9766985.3520609997</v>
      </c>
      <c r="O140" s="70">
        <f t="shared" si="40"/>
        <v>0</v>
      </c>
      <c r="P140" s="70">
        <f t="shared" si="40"/>
        <v>0</v>
      </c>
      <c r="Q140" s="70">
        <f t="shared" si="40"/>
        <v>9766985.3520609997</v>
      </c>
    </row>
    <row r="141" spans="1:19">
      <c r="A141" s="150" t="s">
        <v>355</v>
      </c>
      <c r="B141" s="48"/>
      <c r="C141" s="48"/>
      <c r="D141" s="43"/>
      <c r="E141" s="173"/>
      <c r="F141" s="64">
        <v>1512074235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</row>
    <row r="142" spans="1:19">
      <c r="A142" s="151" t="s">
        <v>30</v>
      </c>
      <c r="B142" s="51"/>
      <c r="C142" s="51"/>
      <c r="D142" s="52"/>
      <c r="E142" s="203"/>
      <c r="F142" s="152">
        <f>F140-F141</f>
        <v>6025286.4375810623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</row>
    <row r="143" spans="1:19">
      <c r="A143" s="54" t="s">
        <v>178</v>
      </c>
      <c r="G143" s="64"/>
      <c r="H143" s="53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1:19">
      <c r="E144" s="65">
        <v>50139424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</row>
    <row r="145" spans="1:17">
      <c r="A145" s="49" t="s">
        <v>15</v>
      </c>
      <c r="B145" s="48">
        <v>4.4999999999999998E-2</v>
      </c>
      <c r="C145" s="48">
        <v>0</v>
      </c>
      <c r="D145" s="43">
        <v>17249</v>
      </c>
      <c r="E145" s="173">
        <f>G145/B145*100</f>
        <v>22279355.555555552</v>
      </c>
      <c r="F145" s="43">
        <v>1376717722</v>
      </c>
      <c r="G145" s="53">
        <v>10025.709999999999</v>
      </c>
      <c r="H145" s="53">
        <v>613396.16</v>
      </c>
      <c r="I145" s="53">
        <v>0</v>
      </c>
      <c r="J145" s="53">
        <v>3797.54</v>
      </c>
      <c r="K145" s="53">
        <v>7.52</v>
      </c>
      <c r="L145" s="53">
        <f>G145+H145+I145-J145+K145</f>
        <v>619631.85</v>
      </c>
      <c r="M145" s="53">
        <v>259360.38</v>
      </c>
      <c r="N145" s="53">
        <f>L145-M145</f>
        <v>360271.47</v>
      </c>
      <c r="O145" s="53">
        <v>0</v>
      </c>
      <c r="P145" s="53">
        <v>0</v>
      </c>
      <c r="Q145" s="53">
        <f>N145-O145-P145</f>
        <v>360271.47</v>
      </c>
    </row>
    <row r="146" spans="1:17">
      <c r="A146" s="47" t="s">
        <v>16</v>
      </c>
      <c r="B146" s="48">
        <f>B145</f>
        <v>4.4999999999999998E-2</v>
      </c>
      <c r="C146" s="48">
        <f>C145</f>
        <v>0</v>
      </c>
      <c r="D146" s="43"/>
      <c r="E146" s="173"/>
      <c r="F146" s="65">
        <f>IF(E144&gt;E145,E144-E145,0)</f>
        <v>27860068.444444448</v>
      </c>
      <c r="G146" s="53">
        <f>F146*(B146-C146)/100</f>
        <v>12537.0308</v>
      </c>
      <c r="H146" s="53"/>
      <c r="I146" s="53">
        <f>F146*C146/100</f>
        <v>0</v>
      </c>
      <c r="J146" s="53"/>
      <c r="K146" s="53"/>
      <c r="L146" s="53">
        <f>G146+H146+I146-J146+K146</f>
        <v>12537.0308</v>
      </c>
      <c r="M146" s="53"/>
      <c r="N146" s="53">
        <f>L146-M146</f>
        <v>12537.0308</v>
      </c>
      <c r="O146" s="53"/>
      <c r="P146" s="53"/>
      <c r="Q146" s="53">
        <f>N146-O146-P146</f>
        <v>12537.0308</v>
      </c>
    </row>
    <row r="147" spans="1:17">
      <c r="A147" s="47" t="s">
        <v>17</v>
      </c>
      <c r="B147" s="48">
        <f>B145</f>
        <v>4.4999999999999998E-2</v>
      </c>
      <c r="C147" s="48">
        <f>C145</f>
        <v>0</v>
      </c>
      <c r="D147" s="43"/>
      <c r="E147" s="173"/>
      <c r="F147" s="66">
        <v>30583881</v>
      </c>
      <c r="G147" s="53"/>
      <c r="H147" s="53">
        <f>F147*(B147-C147)/100</f>
        <v>13762.746450000001</v>
      </c>
      <c r="I147" s="53">
        <f>F147*C147/100</f>
        <v>0</v>
      </c>
      <c r="J147" s="53">
        <v>0</v>
      </c>
      <c r="K147" s="53">
        <v>0</v>
      </c>
      <c r="L147" s="53">
        <f>G147+H147+I147-J147+K147</f>
        <v>13762.746450000001</v>
      </c>
      <c r="M147" s="53">
        <v>0</v>
      </c>
      <c r="N147" s="53">
        <f>L147-M147</f>
        <v>13762.746450000001</v>
      </c>
      <c r="O147" s="53">
        <v>0</v>
      </c>
      <c r="P147" s="53">
        <v>0</v>
      </c>
      <c r="Q147" s="53">
        <f>N147-O147-P147</f>
        <v>13762.746450000001</v>
      </c>
    </row>
    <row r="148" spans="1:17">
      <c r="A148" s="47" t="s">
        <v>18</v>
      </c>
      <c r="B148" s="48"/>
      <c r="C148" s="48"/>
      <c r="D148" s="43"/>
      <c r="E148" s="173"/>
      <c r="F148" s="4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1:17">
      <c r="A149" s="67" t="s">
        <v>19</v>
      </c>
      <c r="B149" s="48">
        <f>B145</f>
        <v>4.4999999999999998E-2</v>
      </c>
      <c r="C149" s="48">
        <f>C145</f>
        <v>0</v>
      </c>
      <c r="D149" s="43"/>
      <c r="E149" s="173"/>
      <c r="F149" s="43">
        <v>55843441.479999997</v>
      </c>
      <c r="G149" s="53">
        <v>3474.47</v>
      </c>
      <c r="H149" s="53">
        <v>21656.38</v>
      </c>
      <c r="I149" s="53">
        <v>0</v>
      </c>
      <c r="J149" s="53">
        <v>2836.8</v>
      </c>
      <c r="K149" s="53">
        <v>0</v>
      </c>
      <c r="L149" s="53">
        <f>G149+H149+I149-J149+K149</f>
        <v>22294.050000000003</v>
      </c>
      <c r="M149" s="53">
        <v>923.66</v>
      </c>
      <c r="N149" s="53">
        <f>L149-M149</f>
        <v>21370.390000000003</v>
      </c>
      <c r="O149" s="53">
        <v>0</v>
      </c>
      <c r="P149" s="53">
        <v>0</v>
      </c>
      <c r="Q149" s="53">
        <f>N149-O149-P149</f>
        <v>21370.390000000003</v>
      </c>
    </row>
    <row r="150" spans="1:17">
      <c r="A150" s="67" t="s">
        <v>20</v>
      </c>
      <c r="B150" s="48">
        <f>B145</f>
        <v>4.4999999999999998E-2</v>
      </c>
      <c r="C150" s="48">
        <f>C145</f>
        <v>0</v>
      </c>
      <c r="D150" s="43"/>
      <c r="E150" s="173"/>
      <c r="F150" s="43">
        <v>7122067.0499999998</v>
      </c>
      <c r="G150" s="53">
        <v>3188.91</v>
      </c>
      <c r="H150" s="53">
        <v>15.8</v>
      </c>
      <c r="I150" s="53">
        <v>0</v>
      </c>
      <c r="J150" s="53">
        <v>0</v>
      </c>
      <c r="K150" s="53">
        <v>0</v>
      </c>
      <c r="L150" s="53">
        <f>G150+H150+I150-J150+K150</f>
        <v>3204.71</v>
      </c>
      <c r="M150" s="53">
        <v>0.03</v>
      </c>
      <c r="N150" s="53">
        <f>L150-M150</f>
        <v>3204.68</v>
      </c>
      <c r="O150" s="53">
        <v>0</v>
      </c>
      <c r="P150" s="53">
        <v>0</v>
      </c>
      <c r="Q150" s="53">
        <f>N150-O150-P150</f>
        <v>3204.68</v>
      </c>
    </row>
    <row r="151" spans="1:17">
      <c r="A151" s="47"/>
      <c r="B151" s="48"/>
      <c r="C151" s="48"/>
      <c r="D151" s="43"/>
      <c r="E151" s="173"/>
      <c r="F151" s="4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1:17" s="50" customFormat="1" ht="13.5" thickBot="1">
      <c r="A152" s="60" t="str">
        <f>"TOTAL "&amp;A143</f>
        <v>TOTAL CENTRAL LYON VECTOR CONTROL DISTRICT</v>
      </c>
      <c r="B152" s="68">
        <f>B145</f>
        <v>4.4999999999999998E-2</v>
      </c>
      <c r="C152" s="68">
        <f>C145</f>
        <v>0</v>
      </c>
      <c r="D152" s="69">
        <f t="shared" ref="D152:Q152" si="41">SUM(D145:D147,D149:D150)</f>
        <v>17249</v>
      </c>
      <c r="E152" s="204"/>
      <c r="F152" s="69">
        <f t="shared" si="41"/>
        <v>1498127179.9744444</v>
      </c>
      <c r="G152" s="70">
        <f t="shared" si="41"/>
        <v>29226.120800000001</v>
      </c>
      <c r="H152" s="70">
        <f t="shared" si="41"/>
        <v>648831.08645000006</v>
      </c>
      <c r="I152" s="70">
        <f t="shared" si="41"/>
        <v>0</v>
      </c>
      <c r="J152" s="70">
        <f t="shared" si="41"/>
        <v>6634.34</v>
      </c>
      <c r="K152" s="70">
        <f t="shared" si="41"/>
        <v>7.52</v>
      </c>
      <c r="L152" s="70">
        <f t="shared" si="41"/>
        <v>671430.38724999991</v>
      </c>
      <c r="M152" s="70">
        <f t="shared" si="41"/>
        <v>260284.07</v>
      </c>
      <c r="N152" s="70">
        <f t="shared" si="41"/>
        <v>411146.31724999996</v>
      </c>
      <c r="O152" s="70">
        <f t="shared" si="41"/>
        <v>0</v>
      </c>
      <c r="P152" s="70">
        <f t="shared" si="41"/>
        <v>0</v>
      </c>
      <c r="Q152" s="70">
        <f t="shared" si="41"/>
        <v>411146.31724999996</v>
      </c>
    </row>
    <row r="153" spans="1:17">
      <c r="A153" s="150" t="s">
        <v>355</v>
      </c>
      <c r="B153" s="48"/>
      <c r="C153" s="48"/>
      <c r="D153" s="43"/>
      <c r="E153" s="173"/>
      <c r="F153" s="64">
        <v>1492071854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1:17">
      <c r="A154" s="151" t="s">
        <v>30</v>
      </c>
      <c r="B154" s="51"/>
      <c r="C154" s="51"/>
      <c r="D154" s="52"/>
      <c r="E154" s="203"/>
      <c r="F154" s="152">
        <f>F152-F153</f>
        <v>6055325.9744443893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1:17">
      <c r="A155" s="54" t="s">
        <v>179</v>
      </c>
      <c r="B155" s="84"/>
      <c r="C155" s="84"/>
      <c r="D155" s="84"/>
      <c r="E155" s="210"/>
      <c r="F155" s="84"/>
      <c r="G155" s="64"/>
      <c r="H155" s="53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1:17">
      <c r="A156" s="83"/>
      <c r="B156" s="84"/>
      <c r="C156" s="84"/>
      <c r="D156" s="84"/>
      <c r="E156" s="65">
        <v>56814028</v>
      </c>
      <c r="F156" s="84"/>
      <c r="G156" s="59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1:17">
      <c r="A157" s="49" t="s">
        <v>15</v>
      </c>
      <c r="B157" s="48">
        <v>0.2</v>
      </c>
      <c r="C157" s="48">
        <v>0</v>
      </c>
      <c r="D157" s="43">
        <v>9925</v>
      </c>
      <c r="E157" s="173">
        <f>G157/B157*100</f>
        <v>20149755</v>
      </c>
      <c r="F157" s="43">
        <v>1344071960</v>
      </c>
      <c r="G157" s="53">
        <v>40299.51</v>
      </c>
      <c r="H157" s="53">
        <v>2672911.5</v>
      </c>
      <c r="I157" s="53">
        <v>0</v>
      </c>
      <c r="J157" s="53">
        <v>25100.93</v>
      </c>
      <c r="K157" s="53">
        <v>16.899999999999999</v>
      </c>
      <c r="L157" s="53">
        <f>G157+H157+I157-J157+K157</f>
        <v>2688126.9799999995</v>
      </c>
      <c r="M157" s="53">
        <v>886695.6</v>
      </c>
      <c r="N157" s="53">
        <f>L157-M157</f>
        <v>1801431.3799999994</v>
      </c>
      <c r="O157" s="53">
        <v>0</v>
      </c>
      <c r="P157" s="53">
        <v>0</v>
      </c>
      <c r="Q157" s="53">
        <f>N157-O157-P157</f>
        <v>1801431.3799999994</v>
      </c>
    </row>
    <row r="158" spans="1:17">
      <c r="A158" s="47" t="s">
        <v>16</v>
      </c>
      <c r="B158" s="48">
        <f>B157</f>
        <v>0.2</v>
      </c>
      <c r="C158" s="48">
        <f>C157</f>
        <v>0</v>
      </c>
      <c r="D158" s="43"/>
      <c r="E158" s="173"/>
      <c r="F158" s="65">
        <f>IF(E156&gt;E157,E156-E157,0)</f>
        <v>36664273</v>
      </c>
      <c r="G158" s="53">
        <f>F158*(B158-C158)/100</f>
        <v>73328.546000000002</v>
      </c>
      <c r="H158" s="53"/>
      <c r="I158" s="53">
        <f>F158*C158/100</f>
        <v>0</v>
      </c>
      <c r="J158" s="53"/>
      <c r="K158" s="53"/>
      <c r="L158" s="53">
        <f>G158+H158+I158-J158+K158</f>
        <v>73328.546000000002</v>
      </c>
      <c r="M158" s="53"/>
      <c r="N158" s="53">
        <f>L158-M158</f>
        <v>73328.546000000002</v>
      </c>
      <c r="O158" s="53"/>
      <c r="P158" s="53"/>
      <c r="Q158" s="53">
        <f>N158-O158-P158</f>
        <v>73328.546000000002</v>
      </c>
    </row>
    <row r="159" spans="1:17">
      <c r="A159" s="47" t="s">
        <v>17</v>
      </c>
      <c r="B159" s="48">
        <f>B157</f>
        <v>0.2</v>
      </c>
      <c r="C159" s="48">
        <f>C157</f>
        <v>0</v>
      </c>
      <c r="D159" s="43"/>
      <c r="E159" s="173"/>
      <c r="F159" s="66">
        <v>60468941</v>
      </c>
      <c r="G159" s="53"/>
      <c r="H159" s="53">
        <f>F159*(B159-C159)/100</f>
        <v>120937.88200000001</v>
      </c>
      <c r="I159" s="53">
        <f>F159*C159/100</f>
        <v>0</v>
      </c>
      <c r="J159" s="53">
        <v>0</v>
      </c>
      <c r="K159" s="53">
        <v>0</v>
      </c>
      <c r="L159" s="53">
        <f>G159+H159+I159-J159+K159</f>
        <v>120937.88200000001</v>
      </c>
      <c r="M159" s="53">
        <v>0</v>
      </c>
      <c r="N159" s="53">
        <f>L159-M159</f>
        <v>120937.88200000001</v>
      </c>
      <c r="O159" s="53">
        <v>0</v>
      </c>
      <c r="P159" s="53">
        <v>0</v>
      </c>
      <c r="Q159" s="53">
        <f>N159-O159-P159</f>
        <v>120937.88200000001</v>
      </c>
    </row>
    <row r="160" spans="1:17">
      <c r="A160" s="47" t="s">
        <v>18</v>
      </c>
      <c r="B160" s="48"/>
      <c r="C160" s="48"/>
      <c r="D160" s="43"/>
      <c r="E160" s="173"/>
      <c r="F160" s="4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1:17">
      <c r="A161" s="67" t="s">
        <v>19</v>
      </c>
      <c r="B161" s="48">
        <f>B157</f>
        <v>0.2</v>
      </c>
      <c r="C161" s="48">
        <f>C157</f>
        <v>0</v>
      </c>
      <c r="D161" s="43"/>
      <c r="E161" s="173"/>
      <c r="F161" s="43">
        <v>30337232.149999999</v>
      </c>
      <c r="G161" s="53">
        <v>4170.9799999999996</v>
      </c>
      <c r="H161" s="53">
        <v>56505.32</v>
      </c>
      <c r="I161" s="53">
        <v>0</v>
      </c>
      <c r="J161" s="53">
        <v>923.39</v>
      </c>
      <c r="K161" s="53">
        <v>0</v>
      </c>
      <c r="L161" s="53">
        <f>G161+H161+I161-J161+K161</f>
        <v>59752.91</v>
      </c>
      <c r="M161" s="53">
        <v>1200.04</v>
      </c>
      <c r="N161" s="53">
        <f>L161-M161</f>
        <v>58552.87</v>
      </c>
      <c r="O161" s="53">
        <v>0</v>
      </c>
      <c r="P161" s="53">
        <v>11754.05</v>
      </c>
      <c r="Q161" s="53">
        <f>N161-O161-P161</f>
        <v>46798.820000000007</v>
      </c>
    </row>
    <row r="162" spans="1:17">
      <c r="A162" s="67" t="s">
        <v>20</v>
      </c>
      <c r="B162" s="48">
        <f>B157</f>
        <v>0.2</v>
      </c>
      <c r="C162" s="48">
        <f>C157</f>
        <v>0</v>
      </c>
      <c r="D162" s="43"/>
      <c r="E162" s="173"/>
      <c r="F162" s="43">
        <v>2812898.91</v>
      </c>
      <c r="G162" s="53">
        <v>5623.41</v>
      </c>
      <c r="H162" s="53">
        <v>2.3199999999999998</v>
      </c>
      <c r="I162" s="53">
        <v>0</v>
      </c>
      <c r="J162" s="53">
        <v>0</v>
      </c>
      <c r="K162" s="53">
        <v>0</v>
      </c>
      <c r="L162" s="53">
        <f>G162+H162+I162-J162+K162</f>
        <v>5625.73</v>
      </c>
      <c r="M162" s="18">
        <v>0</v>
      </c>
      <c r="N162" s="53">
        <f>L162-M162</f>
        <v>5625.73</v>
      </c>
      <c r="O162" s="53">
        <v>0</v>
      </c>
      <c r="P162" s="53"/>
      <c r="Q162" s="53">
        <f>N162-O162-P162</f>
        <v>5625.73</v>
      </c>
    </row>
    <row r="163" spans="1:17">
      <c r="A163" s="47"/>
      <c r="B163" s="48"/>
      <c r="C163" s="48"/>
      <c r="D163" s="43"/>
      <c r="E163" s="173"/>
      <c r="F163" s="4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</row>
    <row r="164" spans="1:17" s="50" customFormat="1" ht="13.5" thickBot="1">
      <c r="A164" s="60" t="str">
        <f>"TOTAL "&amp;A155</f>
        <v>TOTAL FERNLEY SWIMMING POOL DISTRICT</v>
      </c>
      <c r="B164" s="68">
        <f>B157</f>
        <v>0.2</v>
      </c>
      <c r="C164" s="68">
        <f>C157</f>
        <v>0</v>
      </c>
      <c r="D164" s="69">
        <f t="shared" ref="D164:Q164" si="42">SUM(D157:D159,D161:D162)</f>
        <v>9925</v>
      </c>
      <c r="E164" s="204"/>
      <c r="F164" s="69">
        <f t="shared" si="42"/>
        <v>1474355305.0600002</v>
      </c>
      <c r="G164" s="70">
        <f t="shared" si="42"/>
        <v>123422.44600000001</v>
      </c>
      <c r="H164" s="70">
        <f t="shared" si="42"/>
        <v>2850357.0219999999</v>
      </c>
      <c r="I164" s="70">
        <f t="shared" si="42"/>
        <v>0</v>
      </c>
      <c r="J164" s="70">
        <f t="shared" si="42"/>
        <v>26024.32</v>
      </c>
      <c r="K164" s="70">
        <f t="shared" si="42"/>
        <v>16.899999999999999</v>
      </c>
      <c r="L164" s="70">
        <f t="shared" si="42"/>
        <v>2947772.048</v>
      </c>
      <c r="M164" s="70">
        <f t="shared" si="42"/>
        <v>887895.64</v>
      </c>
      <c r="N164" s="70">
        <f t="shared" si="42"/>
        <v>2059876.4079999996</v>
      </c>
      <c r="O164" s="70">
        <f t="shared" si="42"/>
        <v>0</v>
      </c>
      <c r="P164" s="70">
        <f t="shared" si="42"/>
        <v>11754.05</v>
      </c>
      <c r="Q164" s="70">
        <f t="shared" si="42"/>
        <v>2048122.3579999995</v>
      </c>
    </row>
    <row r="165" spans="1:17">
      <c r="A165" s="150" t="s">
        <v>355</v>
      </c>
      <c r="B165" s="48"/>
      <c r="C165" s="48"/>
      <c r="D165" s="43"/>
      <c r="E165" s="173"/>
      <c r="F165" s="64">
        <v>1474509303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</row>
    <row r="166" spans="1:17">
      <c r="A166" s="151" t="s">
        <v>30</v>
      </c>
      <c r="B166" s="51"/>
      <c r="C166" s="51"/>
      <c r="D166" s="52"/>
      <c r="E166" s="203"/>
      <c r="F166" s="152">
        <f>F164-F165</f>
        <v>-153997.9399998188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</row>
    <row r="167" spans="1:17">
      <c r="A167" s="54" t="s">
        <v>180</v>
      </c>
      <c r="G167" s="64"/>
      <c r="H167" s="53"/>
      <c r="I167" s="53"/>
      <c r="J167" s="53"/>
      <c r="K167" s="53"/>
      <c r="L167" s="53"/>
      <c r="M167" s="53"/>
      <c r="N167" s="53"/>
      <c r="O167" s="53"/>
      <c r="P167" s="53"/>
      <c r="Q167" s="53"/>
    </row>
    <row r="168" spans="1:17">
      <c r="A168" s="50"/>
      <c r="B168" s="50"/>
      <c r="C168" s="50"/>
      <c r="D168" s="50"/>
      <c r="E168" s="65">
        <v>7454923</v>
      </c>
      <c r="F168" s="50"/>
      <c r="G168" s="59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1:17">
      <c r="A169" s="49" t="s">
        <v>15</v>
      </c>
      <c r="B169" s="48">
        <v>0.38879999999999998</v>
      </c>
      <c r="C169" s="48">
        <v>0</v>
      </c>
      <c r="D169" s="43">
        <v>3281</v>
      </c>
      <c r="E169" s="173">
        <f>G169/B169*100</f>
        <v>1215895.0617283951</v>
      </c>
      <c r="F169" s="43">
        <v>154506035</v>
      </c>
      <c r="G169" s="53">
        <v>4727.3999999999996</v>
      </c>
      <c r="H169" s="53">
        <v>600250.1</v>
      </c>
      <c r="I169" s="53">
        <v>0</v>
      </c>
      <c r="J169" s="53">
        <v>4213.1499999999996</v>
      </c>
      <c r="K169" s="53">
        <v>34.21</v>
      </c>
      <c r="L169" s="53">
        <f>G169+H169+I169-J169+K169</f>
        <v>600798.55999999994</v>
      </c>
      <c r="M169" s="53">
        <v>124457.31</v>
      </c>
      <c r="N169" s="53">
        <f>L169-M169</f>
        <v>476341.24999999994</v>
      </c>
      <c r="O169" s="53">
        <v>0</v>
      </c>
      <c r="P169" s="53">
        <v>0</v>
      </c>
      <c r="Q169" s="53">
        <f>N169-O169-P169</f>
        <v>476341.24999999994</v>
      </c>
    </row>
    <row r="170" spans="1:17">
      <c r="A170" s="47" t="s">
        <v>16</v>
      </c>
      <c r="B170" s="48">
        <f>B169</f>
        <v>0.38879999999999998</v>
      </c>
      <c r="C170" s="48">
        <f>C169</f>
        <v>0</v>
      </c>
      <c r="D170" s="43"/>
      <c r="E170" s="173"/>
      <c r="F170" s="65">
        <f>IF(E168&gt;E169,E168-E169,0)</f>
        <v>6239027.9382716045</v>
      </c>
      <c r="G170" s="53">
        <f>F170*(B170-C170)/100</f>
        <v>24257.340623999997</v>
      </c>
      <c r="H170" s="53"/>
      <c r="I170" s="53">
        <f>F170*C170/100</f>
        <v>0</v>
      </c>
      <c r="J170" s="53"/>
      <c r="K170" s="53"/>
      <c r="L170" s="53">
        <f>G170+H170+I170-J170+K170</f>
        <v>24257.340623999997</v>
      </c>
      <c r="M170" s="53"/>
      <c r="N170" s="53">
        <f>L170-M170</f>
        <v>24257.340623999997</v>
      </c>
      <c r="O170" s="53"/>
      <c r="P170" s="53"/>
      <c r="Q170" s="53">
        <f>N170-O170-P170</f>
        <v>24257.340623999997</v>
      </c>
    </row>
    <row r="171" spans="1:17">
      <c r="A171" s="47" t="s">
        <v>17</v>
      </c>
      <c r="B171" s="48">
        <f>B169</f>
        <v>0.38879999999999998</v>
      </c>
      <c r="C171" s="48">
        <f>C169</f>
        <v>0</v>
      </c>
      <c r="D171" s="43"/>
      <c r="E171" s="173"/>
      <c r="F171" s="66">
        <v>13950007</v>
      </c>
      <c r="G171" s="53"/>
      <c r="H171" s="53">
        <f>F171*(B171-C171)/100</f>
        <v>54237.627216000001</v>
      </c>
      <c r="I171" s="53">
        <f>F171*C171/100</f>
        <v>0</v>
      </c>
      <c r="J171" s="53">
        <v>0</v>
      </c>
      <c r="K171" s="53"/>
      <c r="L171" s="53">
        <f>G171+H171+I171-J171+K171</f>
        <v>54237.627216000001</v>
      </c>
      <c r="M171" s="53">
        <v>0</v>
      </c>
      <c r="N171" s="53">
        <f>L171-M171</f>
        <v>54237.627216000001</v>
      </c>
      <c r="O171" s="53">
        <v>0</v>
      </c>
      <c r="P171" s="53">
        <v>0</v>
      </c>
      <c r="Q171" s="53">
        <f>N171-O171-P171</f>
        <v>54237.627216000001</v>
      </c>
    </row>
    <row r="172" spans="1:17">
      <c r="A172" s="47" t="s">
        <v>18</v>
      </c>
      <c r="B172" s="48"/>
      <c r="C172" s="48"/>
      <c r="D172" s="43"/>
      <c r="E172" s="173"/>
      <c r="F172" s="4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</row>
    <row r="173" spans="1:17">
      <c r="A173" s="67" t="s">
        <v>19</v>
      </c>
      <c r="B173" s="48">
        <f>B169</f>
        <v>0.38879999999999998</v>
      </c>
      <c r="C173" s="48">
        <f>C169</f>
        <v>0</v>
      </c>
      <c r="D173" s="43"/>
      <c r="E173" s="173"/>
      <c r="F173" s="43">
        <v>40910303.729999997</v>
      </c>
      <c r="G173" s="53">
        <v>58517.37</v>
      </c>
      <c r="H173" s="53">
        <v>100727.87</v>
      </c>
      <c r="I173" s="53">
        <v>0</v>
      </c>
      <c r="J173" s="53">
        <v>47842.61</v>
      </c>
      <c r="K173" s="53">
        <v>0</v>
      </c>
      <c r="L173" s="53">
        <f>G173+H173+I173-J173+K173</f>
        <v>111402.62999999999</v>
      </c>
      <c r="M173" s="53">
        <v>4183.6400000000003</v>
      </c>
      <c r="N173" s="53">
        <f>L173-M173</f>
        <v>107218.98999999999</v>
      </c>
      <c r="O173" s="53">
        <v>0</v>
      </c>
      <c r="P173" s="53">
        <v>0</v>
      </c>
      <c r="Q173" s="53">
        <f>N173-O173-P173</f>
        <v>107218.98999999999</v>
      </c>
    </row>
    <row r="174" spans="1:17">
      <c r="A174" s="67" t="s">
        <v>20</v>
      </c>
      <c r="B174" s="48">
        <f>B169</f>
        <v>0.38879999999999998</v>
      </c>
      <c r="C174" s="48">
        <f>C169</f>
        <v>0</v>
      </c>
      <c r="D174" s="43"/>
      <c r="E174" s="173"/>
      <c r="F174" s="43">
        <v>4934502.28</v>
      </c>
      <c r="G174" s="53">
        <v>19137.77</v>
      </c>
      <c r="H174" s="53">
        <v>47.51</v>
      </c>
      <c r="I174" s="53">
        <v>0</v>
      </c>
      <c r="J174" s="53">
        <v>0</v>
      </c>
      <c r="K174" s="53">
        <v>0</v>
      </c>
      <c r="L174" s="53">
        <f>G174+H174+I174-J174+K174</f>
        <v>19185.28</v>
      </c>
      <c r="M174" s="53">
        <v>0.11</v>
      </c>
      <c r="N174" s="53">
        <f>L174-M174</f>
        <v>19185.169999999998</v>
      </c>
      <c r="O174" s="53">
        <v>0</v>
      </c>
      <c r="P174" s="53">
        <v>0</v>
      </c>
      <c r="Q174" s="53">
        <f>N174-O174-P174</f>
        <v>19185.169999999998</v>
      </c>
    </row>
    <row r="175" spans="1:17">
      <c r="A175" s="47"/>
      <c r="B175" s="48"/>
      <c r="C175" s="48"/>
      <c r="D175" s="43"/>
      <c r="E175" s="173"/>
      <c r="F175" s="4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</row>
    <row r="176" spans="1:17" s="50" customFormat="1" ht="13.5" thickBot="1">
      <c r="A176" s="60" t="str">
        <f>"TOTAL "&amp;A167</f>
        <v>TOTAL MASON VALLEY FIRE MAINTENANCE DISTRICT</v>
      </c>
      <c r="B176" s="68">
        <f>B169</f>
        <v>0.38879999999999998</v>
      </c>
      <c r="C176" s="68">
        <f>C169</f>
        <v>0</v>
      </c>
      <c r="D176" s="69">
        <f t="shared" ref="D176:Q176" si="43">SUM(D169:D171,D173:D174)</f>
        <v>3281</v>
      </c>
      <c r="E176" s="204"/>
      <c r="F176" s="69">
        <f t="shared" si="43"/>
        <v>220539875.9482716</v>
      </c>
      <c r="G176" s="70">
        <f t="shared" si="43"/>
        <v>106639.880624</v>
      </c>
      <c r="H176" s="70">
        <f t="shared" si="43"/>
        <v>755263.10721599997</v>
      </c>
      <c r="I176" s="70">
        <f t="shared" si="43"/>
        <v>0</v>
      </c>
      <c r="J176" s="70">
        <f t="shared" si="43"/>
        <v>52055.76</v>
      </c>
      <c r="K176" s="70">
        <f t="shared" si="43"/>
        <v>34.21</v>
      </c>
      <c r="L176" s="70">
        <f t="shared" si="43"/>
        <v>809881.43783999991</v>
      </c>
      <c r="M176" s="70">
        <f t="shared" si="43"/>
        <v>128641.06</v>
      </c>
      <c r="N176" s="70">
        <f t="shared" si="43"/>
        <v>681240.37783999997</v>
      </c>
      <c r="O176" s="70">
        <f t="shared" si="43"/>
        <v>0</v>
      </c>
      <c r="P176" s="70">
        <f t="shared" si="43"/>
        <v>0</v>
      </c>
      <c r="Q176" s="70">
        <f t="shared" si="43"/>
        <v>681240.37783999997</v>
      </c>
    </row>
    <row r="177" spans="1:17">
      <c r="A177" s="150" t="s">
        <v>355</v>
      </c>
      <c r="B177" s="48"/>
      <c r="C177" s="48"/>
      <c r="D177" s="43"/>
      <c r="E177" s="173"/>
      <c r="F177" s="64">
        <v>208244877</v>
      </c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</row>
    <row r="178" spans="1:17">
      <c r="A178" s="151" t="s">
        <v>30</v>
      </c>
      <c r="B178" s="51"/>
      <c r="C178" s="51"/>
      <c r="D178" s="52"/>
      <c r="E178" s="173"/>
      <c r="F178" s="152">
        <f>F176-F177</f>
        <v>12294998.948271602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</row>
    <row r="179" spans="1:17">
      <c r="A179" s="54" t="s">
        <v>181</v>
      </c>
      <c r="E179" s="173"/>
      <c r="G179" s="64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1:17">
      <c r="A180" s="83"/>
      <c r="B180" s="84"/>
      <c r="C180" s="84"/>
      <c r="D180" s="84"/>
      <c r="E180" s="65">
        <v>20929626</v>
      </c>
      <c r="F180" s="84"/>
      <c r="G180" s="59"/>
      <c r="H180" s="53"/>
      <c r="I180" s="53"/>
      <c r="J180" s="53"/>
      <c r="K180" s="53"/>
      <c r="L180" s="53"/>
      <c r="M180" s="53"/>
      <c r="N180" s="53"/>
      <c r="O180" s="53"/>
      <c r="P180" s="53"/>
      <c r="Q180" s="53"/>
    </row>
    <row r="181" spans="1:17">
      <c r="A181" s="49" t="s">
        <v>15</v>
      </c>
      <c r="B181" s="48">
        <v>8.3799999999999999E-2</v>
      </c>
      <c r="C181" s="48">
        <v>0</v>
      </c>
      <c r="D181" s="43">
        <v>4838</v>
      </c>
      <c r="E181" s="173">
        <f>G181/B181*100</f>
        <v>5699093.0787589503</v>
      </c>
      <c r="F181" s="43">
        <v>279666897</v>
      </c>
      <c r="G181" s="53">
        <v>4775.84</v>
      </c>
      <c r="H181" s="53">
        <v>230805.51</v>
      </c>
      <c r="I181" s="53">
        <v>0</v>
      </c>
      <c r="J181" s="53">
        <v>1222.75</v>
      </c>
      <c r="K181" s="53">
        <v>8.8000000000000007</v>
      </c>
      <c r="L181" s="53">
        <f>G181+H181+I181-J181+K181</f>
        <v>234367.4</v>
      </c>
      <c r="M181" s="53">
        <v>41186.870000000003</v>
      </c>
      <c r="N181" s="53">
        <f>L181-M181</f>
        <v>193180.53</v>
      </c>
      <c r="O181" s="53">
        <v>0</v>
      </c>
      <c r="P181" s="53">
        <v>0</v>
      </c>
      <c r="Q181" s="53">
        <f>N181-O181-P181</f>
        <v>193180.53</v>
      </c>
    </row>
    <row r="182" spans="1:17">
      <c r="A182" s="47" t="s">
        <v>16</v>
      </c>
      <c r="B182" s="48">
        <f>B181</f>
        <v>8.3799999999999999E-2</v>
      </c>
      <c r="C182" s="48">
        <f>C181</f>
        <v>0</v>
      </c>
      <c r="D182" s="43"/>
      <c r="E182" s="173"/>
      <c r="F182" s="65">
        <f>IF(E180&gt;E181,E180-E181,0)</f>
        <v>15230532.921241049</v>
      </c>
      <c r="G182" s="53">
        <f>F182*(B182-C182)/100</f>
        <v>12763.186587999999</v>
      </c>
      <c r="H182" s="53"/>
      <c r="I182" s="53">
        <f>F182*C182/100</f>
        <v>0</v>
      </c>
      <c r="J182" s="53"/>
      <c r="K182" s="53"/>
      <c r="L182" s="53">
        <f>G182+H182+I182-J182+K182</f>
        <v>12763.186587999999</v>
      </c>
      <c r="M182" s="53"/>
      <c r="N182" s="53">
        <f>L182-M182</f>
        <v>12763.186587999999</v>
      </c>
      <c r="O182" s="53"/>
      <c r="P182" s="53"/>
      <c r="Q182" s="53">
        <f>N182-O182-P182</f>
        <v>12763.186587999999</v>
      </c>
    </row>
    <row r="183" spans="1:17">
      <c r="A183" s="47" t="s">
        <v>17</v>
      </c>
      <c r="B183" s="48">
        <f>B181</f>
        <v>8.3799999999999999E-2</v>
      </c>
      <c r="C183" s="48">
        <f>C181</f>
        <v>0</v>
      </c>
      <c r="D183" s="43"/>
      <c r="E183" s="173"/>
      <c r="F183" s="66">
        <v>49189301</v>
      </c>
      <c r="G183" s="53"/>
      <c r="H183" s="53">
        <f>F183*(B183-C183)/100</f>
        <v>41220.634237999999</v>
      </c>
      <c r="I183" s="53">
        <f>F183*C183/100</f>
        <v>0</v>
      </c>
      <c r="J183" s="53">
        <v>0</v>
      </c>
      <c r="K183" s="53">
        <v>0</v>
      </c>
      <c r="L183" s="53">
        <f>G183+H183+I183-J183+K183</f>
        <v>41220.634237999999</v>
      </c>
      <c r="M183" s="53">
        <v>0</v>
      </c>
      <c r="N183" s="53">
        <f>L183-M183</f>
        <v>41220.634237999999</v>
      </c>
      <c r="O183" s="53">
        <v>0</v>
      </c>
      <c r="P183" s="53">
        <v>0</v>
      </c>
      <c r="Q183" s="53">
        <f>N183-O183-P183</f>
        <v>41220.634237999999</v>
      </c>
    </row>
    <row r="184" spans="1:17">
      <c r="A184" s="47" t="s">
        <v>18</v>
      </c>
      <c r="B184" s="48"/>
      <c r="C184" s="48"/>
      <c r="D184" s="43"/>
      <c r="E184" s="173"/>
      <c r="F184" s="4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</row>
    <row r="185" spans="1:17">
      <c r="A185" s="67" t="s">
        <v>19</v>
      </c>
      <c r="B185" s="48">
        <f>B181</f>
        <v>8.3799999999999999E-2</v>
      </c>
      <c r="C185" s="48">
        <f>C181</f>
        <v>0</v>
      </c>
      <c r="D185" s="43"/>
      <c r="E185" s="173"/>
      <c r="F185" s="43">
        <v>43371858.950000003</v>
      </c>
      <c r="G185" s="53">
        <v>12674.86</v>
      </c>
      <c r="H185" s="53">
        <v>23679.46</v>
      </c>
      <c r="I185" s="53">
        <v>0</v>
      </c>
      <c r="J185" s="53">
        <v>10376.07</v>
      </c>
      <c r="K185" s="53">
        <v>0</v>
      </c>
      <c r="L185" s="53">
        <f>G185+H185+I185-J185+K185</f>
        <v>25978.25</v>
      </c>
      <c r="M185" s="53">
        <v>979.09</v>
      </c>
      <c r="N185" s="53">
        <f>L185-M185</f>
        <v>24999.16</v>
      </c>
      <c r="O185" s="53">
        <v>0</v>
      </c>
      <c r="P185" s="53">
        <v>0</v>
      </c>
      <c r="Q185" s="53">
        <f>N185-O185-P185</f>
        <v>24999.16</v>
      </c>
    </row>
    <row r="186" spans="1:17">
      <c r="A186" s="67" t="s">
        <v>20</v>
      </c>
      <c r="B186" s="48">
        <f>B181</f>
        <v>8.3799999999999999E-2</v>
      </c>
      <c r="C186" s="48">
        <f>C181</f>
        <v>0</v>
      </c>
      <c r="D186" s="43"/>
      <c r="E186" s="173"/>
      <c r="F186" s="43">
        <v>5375633.21</v>
      </c>
      <c r="G186" s="53">
        <v>4494.51</v>
      </c>
      <c r="H186" s="53">
        <v>10.17</v>
      </c>
      <c r="I186" s="53">
        <v>0</v>
      </c>
      <c r="J186" s="53">
        <v>0</v>
      </c>
      <c r="K186" s="53">
        <v>0</v>
      </c>
      <c r="L186" s="53">
        <f>G186+H186+I186-J186+K186</f>
        <v>4504.68</v>
      </c>
      <c r="M186" s="53">
        <v>0.01</v>
      </c>
      <c r="N186" s="53">
        <f>L186-M186</f>
        <v>4504.67</v>
      </c>
      <c r="O186" s="53">
        <v>0</v>
      </c>
      <c r="P186" s="53">
        <v>0</v>
      </c>
      <c r="Q186" s="53">
        <f>N186-O186-P186</f>
        <v>4504.67</v>
      </c>
    </row>
    <row r="187" spans="1:17">
      <c r="A187" s="47"/>
      <c r="B187" s="48"/>
      <c r="C187" s="48"/>
      <c r="D187" s="43"/>
      <c r="E187" s="173"/>
      <c r="F187" s="4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</row>
    <row r="188" spans="1:17" s="50" customFormat="1" ht="13.5" thickBot="1">
      <c r="A188" s="60" t="str">
        <f>"TOTAL "&amp;A179</f>
        <v>TOTAL MASON VALLEY MOSQUITO DISTRICT</v>
      </c>
      <c r="B188" s="68">
        <f>B181</f>
        <v>8.3799999999999999E-2</v>
      </c>
      <c r="C188" s="68">
        <f>C181</f>
        <v>0</v>
      </c>
      <c r="D188" s="69">
        <f t="shared" ref="D188:Q188" si="44">SUM(D181:D183,D185:D186)</f>
        <v>4838</v>
      </c>
      <c r="E188" s="204"/>
      <c r="F188" s="69">
        <f t="shared" si="44"/>
        <v>392834223.08124101</v>
      </c>
      <c r="G188" s="70">
        <f t="shared" si="44"/>
        <v>34708.396588000003</v>
      </c>
      <c r="H188" s="70">
        <f t="shared" si="44"/>
        <v>295715.77423800004</v>
      </c>
      <c r="I188" s="70">
        <f t="shared" si="44"/>
        <v>0</v>
      </c>
      <c r="J188" s="70">
        <f t="shared" si="44"/>
        <v>11598.82</v>
      </c>
      <c r="K188" s="70">
        <f t="shared" si="44"/>
        <v>8.8000000000000007</v>
      </c>
      <c r="L188" s="70">
        <f t="shared" si="44"/>
        <v>318834.15082599997</v>
      </c>
      <c r="M188" s="70">
        <f t="shared" si="44"/>
        <v>42165.97</v>
      </c>
      <c r="N188" s="70">
        <f t="shared" si="44"/>
        <v>276668.180826</v>
      </c>
      <c r="O188" s="70">
        <f t="shared" si="44"/>
        <v>0</v>
      </c>
      <c r="P188" s="70">
        <f t="shared" si="44"/>
        <v>0</v>
      </c>
      <c r="Q188" s="70">
        <f t="shared" si="44"/>
        <v>276668.180826</v>
      </c>
    </row>
    <row r="189" spans="1:17">
      <c r="A189" s="150" t="s">
        <v>355</v>
      </c>
      <c r="B189" s="48"/>
      <c r="C189" s="48"/>
      <c r="D189" s="43"/>
      <c r="E189" s="173"/>
      <c r="F189" s="64">
        <v>380467350</v>
      </c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</row>
    <row r="190" spans="1:17">
      <c r="A190" s="151" t="s">
        <v>30</v>
      </c>
      <c r="B190" s="51"/>
      <c r="C190" s="51"/>
      <c r="D190" s="52"/>
      <c r="E190" s="203"/>
      <c r="F190" s="152">
        <f>F188-F189</f>
        <v>12366873.081241012</v>
      </c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1:17">
      <c r="A191" s="54" t="s">
        <v>182</v>
      </c>
      <c r="B191" s="50"/>
      <c r="C191" s="50"/>
      <c r="D191" s="50"/>
      <c r="E191" s="173"/>
      <c r="F191" s="50"/>
      <c r="G191" s="64"/>
      <c r="H191" s="53"/>
      <c r="I191" s="53"/>
      <c r="J191" s="53"/>
      <c r="K191" s="53"/>
      <c r="L191" s="53"/>
      <c r="M191" s="53"/>
      <c r="N191" s="53"/>
      <c r="O191" s="53"/>
      <c r="P191" s="53"/>
      <c r="Q191" s="53"/>
    </row>
    <row r="192" spans="1:17">
      <c r="A192" s="50"/>
      <c r="E192" s="65">
        <v>20923130</v>
      </c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</row>
    <row r="193" spans="1:17">
      <c r="A193" s="49" t="s">
        <v>15</v>
      </c>
      <c r="B193" s="48">
        <v>0.1749</v>
      </c>
      <c r="C193" s="48">
        <v>0</v>
      </c>
      <c r="D193" s="43">
        <v>4837</v>
      </c>
      <c r="E193" s="173">
        <f>G193/B193*100</f>
        <v>5698873.642081189</v>
      </c>
      <c r="F193" s="43">
        <v>276567253</v>
      </c>
      <c r="G193" s="53">
        <v>9967.33</v>
      </c>
      <c r="H193" s="53">
        <v>476296.61</v>
      </c>
      <c r="I193" s="53">
        <v>0</v>
      </c>
      <c r="J193" s="53">
        <v>2551.87</v>
      </c>
      <c r="K193" s="53">
        <v>18.350000000000001</v>
      </c>
      <c r="L193" s="53">
        <f>G193+H193+I193-J193+K193</f>
        <v>483730.42</v>
      </c>
      <c r="M193" s="53">
        <v>85960.61</v>
      </c>
      <c r="N193" s="53">
        <f>L193-M193</f>
        <v>397769.81</v>
      </c>
      <c r="O193" s="53">
        <v>0</v>
      </c>
      <c r="P193" s="53">
        <v>0</v>
      </c>
      <c r="Q193" s="53">
        <f>N193-O193-P193</f>
        <v>397769.81</v>
      </c>
    </row>
    <row r="194" spans="1:17">
      <c r="A194" s="47" t="s">
        <v>16</v>
      </c>
      <c r="B194" s="48">
        <f>B193</f>
        <v>0.1749</v>
      </c>
      <c r="C194" s="48">
        <f>C193</f>
        <v>0</v>
      </c>
      <c r="D194" s="43"/>
      <c r="E194" s="173"/>
      <c r="F194" s="65">
        <f>IF(E192&gt;E193,E192-E193,0)</f>
        <v>15224256.35791881</v>
      </c>
      <c r="G194" s="53">
        <f>F194*(B194-C194)/100</f>
        <v>26627.22437</v>
      </c>
      <c r="H194" s="53"/>
      <c r="I194" s="53">
        <f>F194*C194/100</f>
        <v>0</v>
      </c>
      <c r="J194" s="53"/>
      <c r="K194" s="53"/>
      <c r="L194" s="53">
        <f>G194+H194+I194-J194+K194</f>
        <v>26627.22437</v>
      </c>
      <c r="M194" s="53"/>
      <c r="N194" s="53">
        <f>L194-M194</f>
        <v>26627.22437</v>
      </c>
      <c r="O194" s="53"/>
      <c r="P194" s="53"/>
      <c r="Q194" s="53">
        <f>N194-O194-P194</f>
        <v>26627.22437</v>
      </c>
    </row>
    <row r="195" spans="1:17">
      <c r="A195" s="47" t="s">
        <v>17</v>
      </c>
      <c r="B195" s="48">
        <f>B193</f>
        <v>0.1749</v>
      </c>
      <c r="C195" s="48">
        <f>C193</f>
        <v>0</v>
      </c>
      <c r="D195" s="43"/>
      <c r="E195" s="173"/>
      <c r="F195" s="66">
        <v>49163398</v>
      </c>
      <c r="G195" s="53"/>
      <c r="H195" s="53">
        <f>F195*(B195-C195)/100</f>
        <v>85986.783102000001</v>
      </c>
      <c r="I195" s="53">
        <f>F195*C195/100</f>
        <v>0</v>
      </c>
      <c r="J195" s="53">
        <v>0</v>
      </c>
      <c r="K195" s="53">
        <v>0</v>
      </c>
      <c r="L195" s="53">
        <f>G195+H195+I195-J195+K195</f>
        <v>85986.783102000001</v>
      </c>
      <c r="M195" s="53">
        <v>0</v>
      </c>
      <c r="N195" s="53">
        <f>L195-M195</f>
        <v>85986.783102000001</v>
      </c>
      <c r="O195" s="53">
        <v>0</v>
      </c>
      <c r="P195" s="53">
        <v>0</v>
      </c>
      <c r="Q195" s="53">
        <f>N195-O195-P195</f>
        <v>85986.783102000001</v>
      </c>
    </row>
    <row r="196" spans="1:17">
      <c r="A196" s="47" t="s">
        <v>18</v>
      </c>
      <c r="B196" s="48"/>
      <c r="C196" s="48"/>
      <c r="D196" s="43"/>
      <c r="E196" s="173"/>
      <c r="F196" s="4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</row>
    <row r="197" spans="1:17">
      <c r="A197" s="67" t="s">
        <v>19</v>
      </c>
      <c r="B197" s="48">
        <f>B193</f>
        <v>0.1749</v>
      </c>
      <c r="C197" s="48">
        <f>C193</f>
        <v>0</v>
      </c>
      <c r="D197" s="43"/>
      <c r="E197" s="173"/>
      <c r="F197" s="43">
        <v>43360579.009999998</v>
      </c>
      <c r="G197" s="53">
        <v>26453.84</v>
      </c>
      <c r="H197" s="53">
        <v>49421.68</v>
      </c>
      <c r="I197" s="53">
        <v>0</v>
      </c>
      <c r="J197" s="53">
        <v>21656.01</v>
      </c>
      <c r="K197" s="53">
        <v>0</v>
      </c>
      <c r="L197" s="53">
        <f>G197+H197+I197-J197+K197</f>
        <v>54219.510000000009</v>
      </c>
      <c r="M197" s="53">
        <v>2043.48</v>
      </c>
      <c r="N197" s="53">
        <f>L197-M197</f>
        <v>52176.030000000006</v>
      </c>
      <c r="O197" s="53">
        <v>0</v>
      </c>
      <c r="P197" s="53">
        <v>0</v>
      </c>
      <c r="Q197" s="53">
        <f>N197-O197-P197</f>
        <v>52176.030000000006</v>
      </c>
    </row>
    <row r="198" spans="1:17">
      <c r="A198" s="67" t="s">
        <v>20</v>
      </c>
      <c r="B198" s="48">
        <f>B193</f>
        <v>0.1749</v>
      </c>
      <c r="C198" s="48">
        <f>C193</f>
        <v>0</v>
      </c>
      <c r="D198" s="43"/>
      <c r="E198" s="173"/>
      <c r="F198" s="43">
        <v>5375633.21</v>
      </c>
      <c r="G198" s="53">
        <v>9380.57</v>
      </c>
      <c r="H198" s="53">
        <v>21.35</v>
      </c>
      <c r="I198" s="53">
        <v>0</v>
      </c>
      <c r="J198" s="53">
        <v>0</v>
      </c>
      <c r="K198" s="53">
        <v>0</v>
      </c>
      <c r="L198" s="53">
        <f>G198+H198+I198-J198+K198</f>
        <v>9401.92</v>
      </c>
      <c r="M198" s="53">
        <v>0.02</v>
      </c>
      <c r="N198" s="53">
        <f>L198-M198</f>
        <v>9401.9</v>
      </c>
      <c r="O198" s="53">
        <v>0</v>
      </c>
      <c r="P198" s="53">
        <v>0</v>
      </c>
      <c r="Q198" s="53">
        <f>N198-O198-P198</f>
        <v>9401.9</v>
      </c>
    </row>
    <row r="199" spans="1:17">
      <c r="A199" s="47"/>
      <c r="B199" s="48"/>
      <c r="C199" s="48"/>
      <c r="D199" s="43"/>
      <c r="E199" s="173"/>
      <c r="F199" s="4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</row>
    <row r="200" spans="1:17" s="50" customFormat="1" ht="13.5" thickBot="1">
      <c r="A200" s="60" t="str">
        <f>"TOTAL "&amp;A191</f>
        <v>TOTAL MASON VALLEY SWIMMING POOL DISTRICT</v>
      </c>
      <c r="B200" s="68">
        <f>B193</f>
        <v>0.1749</v>
      </c>
      <c r="C200" s="68">
        <f>C193</f>
        <v>0</v>
      </c>
      <c r="D200" s="69">
        <f t="shared" ref="D200:Q200" si="45">SUM(D193:D195,D197:D198)</f>
        <v>4837</v>
      </c>
      <c r="E200" s="204"/>
      <c r="F200" s="69">
        <f t="shared" si="45"/>
        <v>389691119.57791877</v>
      </c>
      <c r="G200" s="70">
        <f t="shared" si="45"/>
        <v>72428.964370000002</v>
      </c>
      <c r="H200" s="70">
        <f t="shared" si="45"/>
        <v>611726.42310200003</v>
      </c>
      <c r="I200" s="70">
        <f t="shared" si="45"/>
        <v>0</v>
      </c>
      <c r="J200" s="70">
        <f t="shared" si="45"/>
        <v>24207.879999999997</v>
      </c>
      <c r="K200" s="70">
        <f t="shared" si="45"/>
        <v>18.350000000000001</v>
      </c>
      <c r="L200" s="70">
        <f t="shared" si="45"/>
        <v>659965.85747200006</v>
      </c>
      <c r="M200" s="70">
        <f t="shared" si="45"/>
        <v>88004.11</v>
      </c>
      <c r="N200" s="70">
        <f t="shared" si="45"/>
        <v>571961.74747200008</v>
      </c>
      <c r="O200" s="70">
        <f t="shared" si="45"/>
        <v>0</v>
      </c>
      <c r="P200" s="70">
        <f t="shared" si="45"/>
        <v>0</v>
      </c>
      <c r="Q200" s="70">
        <f t="shared" si="45"/>
        <v>571961.74747200008</v>
      </c>
    </row>
    <row r="201" spans="1:17">
      <c r="A201" s="150" t="s">
        <v>355</v>
      </c>
      <c r="B201" s="48"/>
      <c r="C201" s="48"/>
      <c r="D201" s="43"/>
      <c r="E201" s="173"/>
      <c r="F201" s="64">
        <v>377335540</v>
      </c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</row>
    <row r="202" spans="1:17">
      <c r="A202" s="151" t="s">
        <v>30</v>
      </c>
      <c r="B202" s="51"/>
      <c r="C202" s="51"/>
      <c r="D202" s="52"/>
      <c r="E202" s="203"/>
      <c r="F202" s="152">
        <f>F200-F201</f>
        <v>12355579.577918768</v>
      </c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</row>
    <row r="203" spans="1:17">
      <c r="A203" s="54" t="s">
        <v>183</v>
      </c>
      <c r="E203" s="203"/>
      <c r="G203" s="64"/>
      <c r="H203" s="53"/>
      <c r="I203" s="53"/>
      <c r="J203" s="53"/>
      <c r="K203" s="53"/>
      <c r="L203" s="53"/>
      <c r="M203" s="53"/>
      <c r="N203" s="53"/>
      <c r="O203" s="53"/>
      <c r="P203" s="53"/>
      <c r="Q203" s="53"/>
    </row>
    <row r="204" spans="1:17">
      <c r="E204" s="329">
        <v>56817635</v>
      </c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</row>
    <row r="205" spans="1:17">
      <c r="A205" s="49" t="s">
        <v>15</v>
      </c>
      <c r="B205" s="550">
        <v>0.34620000000000001</v>
      </c>
      <c r="C205" s="48">
        <v>0</v>
      </c>
      <c r="D205" s="43">
        <v>9940</v>
      </c>
      <c r="E205" s="173">
        <f>G205/B205*100</f>
        <v>20149751.588677064</v>
      </c>
      <c r="F205" s="43">
        <v>1346577021</v>
      </c>
      <c r="G205" s="53">
        <v>69758.44</v>
      </c>
      <c r="H205" s="53">
        <v>4635481.2699999996</v>
      </c>
      <c r="I205" s="53">
        <v>0</v>
      </c>
      <c r="J205" s="53">
        <v>43441.82</v>
      </c>
      <c r="K205" s="53">
        <v>29.26</v>
      </c>
      <c r="L205" s="53">
        <f>G205+H205+I205-J205+K205</f>
        <v>4661827.1499999994</v>
      </c>
      <c r="M205" s="53">
        <v>1553387.46</v>
      </c>
      <c r="N205" s="53">
        <f>L205-M205</f>
        <v>3108439.6899999995</v>
      </c>
      <c r="O205" s="53">
        <v>0</v>
      </c>
      <c r="P205" s="53">
        <v>0</v>
      </c>
      <c r="Q205" s="53">
        <f>N205-O205-P205</f>
        <v>3108439.6899999995</v>
      </c>
    </row>
    <row r="206" spans="1:17">
      <c r="A206" s="47" t="s">
        <v>16</v>
      </c>
      <c r="B206" s="550">
        <f>B205</f>
        <v>0.34620000000000001</v>
      </c>
      <c r="C206" s="48">
        <f>C205</f>
        <v>0</v>
      </c>
      <c r="D206" s="43"/>
      <c r="E206" s="173"/>
      <c r="F206" s="65">
        <f>IF(E204&gt;E205,E204-E205,0)</f>
        <v>36667883.411322936</v>
      </c>
      <c r="G206" s="53">
        <f>F206*(B206-C206)/100</f>
        <v>126944.21237000002</v>
      </c>
      <c r="H206" s="53"/>
      <c r="I206" s="53">
        <f>F206*C206/100</f>
        <v>0</v>
      </c>
      <c r="J206" s="53"/>
      <c r="K206" s="53"/>
      <c r="L206" s="53">
        <f>G206+H206+I206-J206+K206</f>
        <v>126944.21237000002</v>
      </c>
      <c r="M206" s="53"/>
      <c r="N206" s="53">
        <f>L206-M206</f>
        <v>126944.21237000002</v>
      </c>
      <c r="O206" s="53"/>
      <c r="P206" s="53"/>
      <c r="Q206" s="53">
        <f>N206-O206-P206</f>
        <v>126944.21237000002</v>
      </c>
    </row>
    <row r="207" spans="1:17">
      <c r="A207" s="47" t="s">
        <v>17</v>
      </c>
      <c r="B207" s="550">
        <f>B205</f>
        <v>0.34620000000000001</v>
      </c>
      <c r="C207" s="48">
        <f>C205</f>
        <v>0</v>
      </c>
      <c r="D207" s="43"/>
      <c r="E207" s="173"/>
      <c r="F207" s="66">
        <v>60471925</v>
      </c>
      <c r="G207" s="53"/>
      <c r="H207" s="53">
        <f>F207*(B207-C207)/100</f>
        <v>209353.80434999999</v>
      </c>
      <c r="I207" s="53">
        <f>F207*C207/100</f>
        <v>0</v>
      </c>
      <c r="J207" s="53">
        <v>0</v>
      </c>
      <c r="K207" s="53">
        <v>0</v>
      </c>
      <c r="L207" s="53">
        <f>G207+H207+I207-J207+K207</f>
        <v>209353.80434999999</v>
      </c>
      <c r="M207" s="53">
        <v>0</v>
      </c>
      <c r="N207" s="53">
        <f>L207-M207</f>
        <v>209353.80434999999</v>
      </c>
      <c r="O207" s="53">
        <v>0</v>
      </c>
      <c r="P207" s="53">
        <v>0</v>
      </c>
      <c r="Q207" s="53">
        <f>N207-O207-P207</f>
        <v>209353.80434999999</v>
      </c>
    </row>
    <row r="208" spans="1:17">
      <c r="A208" s="47" t="s">
        <v>18</v>
      </c>
      <c r="B208" s="550"/>
      <c r="C208" s="48"/>
      <c r="D208" s="43"/>
      <c r="E208" s="173"/>
      <c r="F208" s="4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9">
      <c r="A209" s="67" t="s">
        <v>19</v>
      </c>
      <c r="B209" s="550">
        <f>B205</f>
        <v>0.34620000000000001</v>
      </c>
      <c r="C209" s="48">
        <f>C205</f>
        <v>0</v>
      </c>
      <c r="D209" s="43"/>
      <c r="E209" s="173"/>
      <c r="F209" s="43">
        <v>31934163.66</v>
      </c>
      <c r="G209" s="53">
        <v>7334.38</v>
      </c>
      <c r="H209" s="53">
        <v>103227.24</v>
      </c>
      <c r="I209" s="53">
        <v>0</v>
      </c>
      <c r="J209" s="53">
        <v>1598.38</v>
      </c>
      <c r="K209" s="53">
        <v>0</v>
      </c>
      <c r="L209" s="53">
        <f>G209+H209+I209-J209+K209</f>
        <v>108963.24</v>
      </c>
      <c r="M209" s="53">
        <v>2700.25</v>
      </c>
      <c r="N209" s="53">
        <f>L209-M209</f>
        <v>106262.99</v>
      </c>
      <c r="O209" s="53">
        <v>0</v>
      </c>
      <c r="P209" s="53">
        <v>20346.27</v>
      </c>
      <c r="Q209" s="53">
        <f>N209-O209-P209</f>
        <v>85916.72</v>
      </c>
    </row>
    <row r="210" spans="1:19">
      <c r="A210" s="67" t="s">
        <v>20</v>
      </c>
      <c r="B210" s="550">
        <f>B205</f>
        <v>0.34620000000000001</v>
      </c>
      <c r="C210" s="48">
        <f>C205</f>
        <v>0</v>
      </c>
      <c r="D210" s="43"/>
      <c r="E210" s="173"/>
      <c r="F210" s="43">
        <v>2907711.81</v>
      </c>
      <c r="G210" s="53">
        <v>10062.370000000001</v>
      </c>
      <c r="H210" s="53">
        <v>4.04</v>
      </c>
      <c r="I210" s="53">
        <v>0</v>
      </c>
      <c r="J210" s="53">
        <v>0</v>
      </c>
      <c r="K210" s="53">
        <v>0</v>
      </c>
      <c r="L210" s="53">
        <f>G210+H210+I210-J210+K210</f>
        <v>10066.410000000002</v>
      </c>
      <c r="M210" s="53">
        <v>0.01</v>
      </c>
      <c r="N210" s="53">
        <f>L210-M210</f>
        <v>10066.400000000001</v>
      </c>
      <c r="O210" s="53">
        <v>0</v>
      </c>
      <c r="P210" s="53"/>
      <c r="Q210" s="53">
        <f>N210-O210-P210</f>
        <v>10066.400000000001</v>
      </c>
    </row>
    <row r="211" spans="1:19">
      <c r="A211" s="47"/>
      <c r="B211" s="550"/>
      <c r="C211" s="48"/>
      <c r="D211" s="43"/>
      <c r="E211" s="173"/>
      <c r="F211" s="4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</row>
    <row r="212" spans="1:19" s="50" customFormat="1" ht="13.5" thickBot="1">
      <c r="A212" s="60" t="str">
        <f>"TOTAL "&amp;A203</f>
        <v>TOTAL NO LYON CO FIRE MAINTENANCE DISTRICT</v>
      </c>
      <c r="B212" s="554">
        <f>B205</f>
        <v>0.34620000000000001</v>
      </c>
      <c r="C212" s="68">
        <f>C205</f>
        <v>0</v>
      </c>
      <c r="D212" s="69">
        <f t="shared" ref="D212:Q212" si="46">SUM(D205:D207,D209:D210)</f>
        <v>9940</v>
      </c>
      <c r="E212" s="204"/>
      <c r="F212" s="69">
        <f t="shared" si="46"/>
        <v>1478558704.8813229</v>
      </c>
      <c r="G212" s="70">
        <f t="shared" si="46"/>
        <v>214099.40237000003</v>
      </c>
      <c r="H212" s="70">
        <f t="shared" si="46"/>
        <v>4948066.3543499997</v>
      </c>
      <c r="I212" s="70">
        <f t="shared" si="46"/>
        <v>0</v>
      </c>
      <c r="J212" s="70">
        <f t="shared" si="46"/>
        <v>45040.2</v>
      </c>
      <c r="K212" s="70">
        <f t="shared" si="46"/>
        <v>29.26</v>
      </c>
      <c r="L212" s="70">
        <f t="shared" si="46"/>
        <v>5117154.8167199995</v>
      </c>
      <c r="M212" s="70">
        <f t="shared" si="46"/>
        <v>1556087.72</v>
      </c>
      <c r="N212" s="70">
        <f t="shared" si="46"/>
        <v>3561067.0967199993</v>
      </c>
      <c r="O212" s="70">
        <f t="shared" si="46"/>
        <v>0</v>
      </c>
      <c r="P212" s="70">
        <f t="shared" si="46"/>
        <v>20346.27</v>
      </c>
      <c r="Q212" s="70">
        <f t="shared" si="46"/>
        <v>3540720.8267199993</v>
      </c>
      <c r="S212" s="86">
        <f>(+Q212/0.00305)*0.003049</f>
        <v>3539559.9346456649</v>
      </c>
    </row>
    <row r="213" spans="1:19">
      <c r="A213" s="150" t="s">
        <v>355</v>
      </c>
      <c r="B213" s="48"/>
      <c r="C213" s="48"/>
      <c r="D213" s="43"/>
      <c r="E213" s="173"/>
      <c r="F213" s="64">
        <v>1478713374</v>
      </c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</row>
    <row r="214" spans="1:19">
      <c r="A214" s="151" t="s">
        <v>30</v>
      </c>
      <c r="B214" s="51"/>
      <c r="C214" s="51"/>
      <c r="D214" s="52"/>
      <c r="E214" s="203"/>
      <c r="F214" s="152">
        <f>F212-F213</f>
        <v>-154669.11867713928</v>
      </c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9">
      <c r="A215" s="54" t="s">
        <v>184</v>
      </c>
      <c r="B215" s="50"/>
      <c r="C215" s="50"/>
      <c r="D215" s="50"/>
      <c r="E215" s="211"/>
      <c r="F215" s="50"/>
      <c r="G215" s="64"/>
      <c r="H215" s="53"/>
      <c r="I215" s="53"/>
      <c r="J215" s="53"/>
      <c r="K215" s="53"/>
      <c r="L215" s="53"/>
      <c r="M215" s="53"/>
      <c r="N215" s="53"/>
      <c r="O215" s="53"/>
      <c r="P215" s="53"/>
      <c r="Q215" s="53"/>
    </row>
    <row r="216" spans="1:19">
      <c r="E216" s="65">
        <v>7565827</v>
      </c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</row>
    <row r="217" spans="1:19">
      <c r="A217" s="49" t="s">
        <v>15</v>
      </c>
      <c r="B217" s="48">
        <v>4.4999999999999998E-2</v>
      </c>
      <c r="C217" s="48">
        <v>0</v>
      </c>
      <c r="D217" s="43">
        <v>7709</v>
      </c>
      <c r="E217" s="173">
        <f>G217/B217*100</f>
        <v>2945755.5555555555</v>
      </c>
      <c r="F217" s="43">
        <v>231665078</v>
      </c>
      <c r="G217" s="53">
        <v>1325.59</v>
      </c>
      <c r="H217" s="53">
        <v>103812.31</v>
      </c>
      <c r="I217" s="53">
        <v>0</v>
      </c>
      <c r="J217" s="53">
        <v>887.9</v>
      </c>
      <c r="K217" s="53">
        <v>0</v>
      </c>
      <c r="L217" s="53">
        <f>G217+H217+I217-J217+K217</f>
        <v>104250</v>
      </c>
      <c r="M217" s="53">
        <v>34600.14</v>
      </c>
      <c r="N217" s="53">
        <f>L217-M217</f>
        <v>69649.86</v>
      </c>
      <c r="O217" s="53">
        <v>0</v>
      </c>
      <c r="P217" s="53">
        <v>0</v>
      </c>
      <c r="Q217" s="53">
        <f>N217-O217-P217</f>
        <v>69649.86</v>
      </c>
    </row>
    <row r="218" spans="1:19">
      <c r="A218" s="47" t="s">
        <v>16</v>
      </c>
      <c r="B218" s="48">
        <f>B217</f>
        <v>4.4999999999999998E-2</v>
      </c>
      <c r="C218" s="48">
        <f>C217</f>
        <v>0</v>
      </c>
      <c r="D218" s="43"/>
      <c r="E218" s="173"/>
      <c r="F218" s="65">
        <f>IF(E216&gt;E217,E216-E217,0)</f>
        <v>4620071.444444444</v>
      </c>
      <c r="G218" s="53">
        <f>F218*(B218-C218)/100</f>
        <v>2079.0321499999995</v>
      </c>
      <c r="H218" s="53"/>
      <c r="I218" s="53">
        <f>F218*C218/100</f>
        <v>0</v>
      </c>
      <c r="J218" s="53"/>
      <c r="K218" s="53"/>
      <c r="L218" s="53">
        <f>G218+H218+I218-J218+K218</f>
        <v>2079.0321499999995</v>
      </c>
      <c r="M218" s="53"/>
      <c r="N218" s="53">
        <f>L218-M218</f>
        <v>2079.0321499999995</v>
      </c>
      <c r="O218" s="53"/>
      <c r="P218" s="53"/>
      <c r="Q218" s="53">
        <f>N218-O218-P218</f>
        <v>2079.0321499999995</v>
      </c>
    </row>
    <row r="219" spans="1:19">
      <c r="A219" s="47" t="s">
        <v>17</v>
      </c>
      <c r="B219" s="48">
        <f>B217</f>
        <v>4.4999999999999998E-2</v>
      </c>
      <c r="C219" s="48">
        <f>C217</f>
        <v>0</v>
      </c>
      <c r="D219" s="43"/>
      <c r="E219" s="173"/>
      <c r="F219" s="66">
        <v>10393684</v>
      </c>
      <c r="G219" s="53"/>
      <c r="H219" s="53">
        <f>F219*(B219-C219)/100</f>
        <v>4677.1578</v>
      </c>
      <c r="I219" s="53">
        <f>F219*C219/100</f>
        <v>0</v>
      </c>
      <c r="J219" s="53">
        <v>0</v>
      </c>
      <c r="K219" s="53">
        <v>0</v>
      </c>
      <c r="L219" s="53">
        <f>G219+H219+I219-J219+K219</f>
        <v>4677.1578</v>
      </c>
      <c r="M219" s="53">
        <v>0</v>
      </c>
      <c r="N219" s="53">
        <f>L219-M219</f>
        <v>4677.1578</v>
      </c>
      <c r="O219" s="53">
        <v>0</v>
      </c>
      <c r="P219" s="53">
        <v>0</v>
      </c>
      <c r="Q219" s="53">
        <f>N219-O219-P219</f>
        <v>4677.1578</v>
      </c>
    </row>
    <row r="220" spans="1:19">
      <c r="A220" s="47" t="s">
        <v>18</v>
      </c>
      <c r="B220" s="48"/>
      <c r="C220" s="48"/>
      <c r="D220" s="43"/>
      <c r="E220" s="173"/>
      <c r="F220" s="4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</row>
    <row r="221" spans="1:19">
      <c r="A221" s="67" t="s">
        <v>19</v>
      </c>
      <c r="B221" s="48">
        <f>B217</f>
        <v>4.4999999999999998E-2</v>
      </c>
      <c r="C221" s="48">
        <f>C217</f>
        <v>0</v>
      </c>
      <c r="D221" s="43"/>
      <c r="E221" s="173"/>
      <c r="F221" s="43">
        <v>34027699.490000002</v>
      </c>
      <c r="G221" s="53">
        <v>3127.36</v>
      </c>
      <c r="H221" s="53">
        <v>12186.28</v>
      </c>
      <c r="I221" s="53">
        <v>0</v>
      </c>
      <c r="J221" s="53">
        <v>2563.65</v>
      </c>
      <c r="K221" s="53">
        <v>0</v>
      </c>
      <c r="L221" s="53">
        <f>G221+H221+I221-J221+K221</f>
        <v>12749.990000000002</v>
      </c>
      <c r="M221" s="53">
        <v>452.42</v>
      </c>
      <c r="N221" s="53">
        <f>L221-M221</f>
        <v>12297.570000000002</v>
      </c>
      <c r="O221" s="53">
        <v>0</v>
      </c>
      <c r="P221" s="53">
        <v>0</v>
      </c>
      <c r="Q221" s="53">
        <f>N221-O221-P221</f>
        <v>12297.570000000002</v>
      </c>
    </row>
    <row r="222" spans="1:19">
      <c r="A222" s="67" t="s">
        <v>20</v>
      </c>
      <c r="B222" s="48">
        <f>B217</f>
        <v>4.4999999999999998E-2</v>
      </c>
      <c r="C222" s="48">
        <f>C217</f>
        <v>0</v>
      </c>
      <c r="D222" s="43"/>
      <c r="E222" s="173"/>
      <c r="F222" s="43">
        <v>3806606.69</v>
      </c>
      <c r="G222" s="53">
        <v>1696.95</v>
      </c>
      <c r="H222" s="53">
        <v>15.8</v>
      </c>
      <c r="I222" s="53">
        <v>0</v>
      </c>
      <c r="J222" s="53">
        <v>0</v>
      </c>
      <c r="K222" s="53">
        <v>0</v>
      </c>
      <c r="L222" s="53">
        <f>G222+H222+I222-J222+K222</f>
        <v>1712.75</v>
      </c>
      <c r="M222" s="53">
        <v>0.03</v>
      </c>
      <c r="N222" s="53">
        <f>L222-M222</f>
        <v>1712.72</v>
      </c>
      <c r="O222" s="53">
        <v>0</v>
      </c>
      <c r="P222" s="53">
        <v>0</v>
      </c>
      <c r="Q222" s="53">
        <f>N222-O222-P222</f>
        <v>1712.72</v>
      </c>
    </row>
    <row r="223" spans="1:19">
      <c r="A223" s="47"/>
      <c r="B223" s="48"/>
      <c r="C223" s="48"/>
      <c r="D223" s="43"/>
      <c r="E223" s="173"/>
      <c r="F223" s="4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</row>
    <row r="224" spans="1:19" s="50" customFormat="1" ht="13.5" thickBot="1">
      <c r="A224" s="60" t="str">
        <f>"TOTAL "&amp;A215</f>
        <v>TOTAL SILVER SPRINGS-STAGECOACH HOSPITAL DIST</v>
      </c>
      <c r="B224" s="68">
        <f>B217</f>
        <v>4.4999999999999998E-2</v>
      </c>
      <c r="C224" s="68">
        <f>C217</f>
        <v>0</v>
      </c>
      <c r="D224" s="69">
        <f t="shared" ref="D224:Q224" si="47">SUM(D217:D219,D221:D222)</f>
        <v>7709</v>
      </c>
      <c r="E224" s="204"/>
      <c r="F224" s="69">
        <f t="shared" si="47"/>
        <v>284513139.62444443</v>
      </c>
      <c r="G224" s="70">
        <f t="shared" si="47"/>
        <v>8228.9321500000005</v>
      </c>
      <c r="H224" s="70">
        <f t="shared" si="47"/>
        <v>120691.5478</v>
      </c>
      <c r="I224" s="70">
        <f t="shared" si="47"/>
        <v>0</v>
      </c>
      <c r="J224" s="70">
        <f t="shared" si="47"/>
        <v>3451.55</v>
      </c>
      <c r="K224" s="70">
        <f t="shared" si="47"/>
        <v>0</v>
      </c>
      <c r="L224" s="70">
        <f t="shared" si="47"/>
        <v>125468.92995000001</v>
      </c>
      <c r="M224" s="70">
        <f t="shared" si="47"/>
        <v>35052.589999999997</v>
      </c>
      <c r="N224" s="70">
        <f t="shared" si="47"/>
        <v>90416.339950000009</v>
      </c>
      <c r="O224" s="70">
        <f t="shared" si="47"/>
        <v>0</v>
      </c>
      <c r="P224" s="70">
        <f t="shared" si="47"/>
        <v>0</v>
      </c>
      <c r="Q224" s="70">
        <f t="shared" si="47"/>
        <v>90416.339950000009</v>
      </c>
    </row>
    <row r="225" spans="1:17">
      <c r="A225" s="150" t="s">
        <v>355</v>
      </c>
      <c r="B225" s="48"/>
      <c r="C225" s="48"/>
      <c r="D225" s="43"/>
      <c r="E225" s="173"/>
      <c r="F225" s="64">
        <v>278863855</v>
      </c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</row>
    <row r="226" spans="1:17">
      <c r="A226" s="151" t="s">
        <v>30</v>
      </c>
      <c r="B226" s="51"/>
      <c r="C226" s="51"/>
      <c r="D226" s="52"/>
      <c r="E226" s="203"/>
      <c r="F226" s="152">
        <f>F224-F225</f>
        <v>5649284.6244444251</v>
      </c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1:17">
      <c r="A227" s="54" t="s">
        <v>185</v>
      </c>
      <c r="G227" s="64"/>
      <c r="H227" s="53"/>
      <c r="I227" s="53"/>
      <c r="J227" s="53"/>
      <c r="K227" s="53"/>
      <c r="L227" s="53"/>
      <c r="M227" s="53"/>
      <c r="N227" s="53"/>
      <c r="O227" s="53"/>
      <c r="P227" s="53"/>
      <c r="Q227" s="53"/>
    </row>
    <row r="228" spans="1:17">
      <c r="E228" s="65">
        <v>5503089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1:17">
      <c r="A229" s="49" t="s">
        <v>15</v>
      </c>
      <c r="B229" s="475">
        <v>0.53369999999999995</v>
      </c>
      <c r="C229" s="48">
        <v>0</v>
      </c>
      <c r="D229" s="43">
        <v>1553</v>
      </c>
      <c r="E229" s="173">
        <f>G229/B229*100</f>
        <v>1484925.988382987</v>
      </c>
      <c r="F229" s="43">
        <v>138633034</v>
      </c>
      <c r="G229" s="53">
        <v>7925.05</v>
      </c>
      <c r="H229" s="53">
        <v>736098.34</v>
      </c>
      <c r="I229" s="53">
        <v>0</v>
      </c>
      <c r="J229" s="53">
        <v>4098.63</v>
      </c>
      <c r="K229" s="53">
        <v>86.23</v>
      </c>
      <c r="L229" s="53">
        <f>G229+H229+I229-J229+K229</f>
        <v>740010.99</v>
      </c>
      <c r="M229" s="53">
        <v>207389.22</v>
      </c>
      <c r="N229" s="53">
        <f>L229-M229</f>
        <v>532621.77</v>
      </c>
      <c r="O229" s="53">
        <v>0</v>
      </c>
      <c r="P229" s="53">
        <v>0</v>
      </c>
      <c r="Q229" s="53">
        <f>N229-O229-P229</f>
        <v>532621.77</v>
      </c>
    </row>
    <row r="230" spans="1:17">
      <c r="A230" s="47" t="s">
        <v>16</v>
      </c>
      <c r="B230" s="475">
        <f>B229</f>
        <v>0.53369999999999995</v>
      </c>
      <c r="C230" s="48">
        <f>C229</f>
        <v>0</v>
      </c>
      <c r="D230" s="43"/>
      <c r="E230" s="173"/>
      <c r="F230" s="65">
        <f>IF(E228&gt;E229,E228-E229,0)</f>
        <v>4018163.0116170133</v>
      </c>
      <c r="G230" s="53">
        <f>F230*(B230-C230)/100</f>
        <v>21444.935992999999</v>
      </c>
      <c r="H230" s="53"/>
      <c r="I230" s="53">
        <f>F230*C230/100</f>
        <v>0</v>
      </c>
      <c r="J230" s="53"/>
      <c r="K230" s="53"/>
      <c r="L230" s="53">
        <f>G230+H230+I230-J230+K230</f>
        <v>21444.935992999999</v>
      </c>
      <c r="M230" s="53"/>
      <c r="N230" s="53">
        <f>L230-M230</f>
        <v>21444.935992999999</v>
      </c>
      <c r="O230" s="53"/>
      <c r="P230" s="53"/>
      <c r="Q230" s="53">
        <f>N230-O230-P230</f>
        <v>21444.935992999999</v>
      </c>
    </row>
    <row r="231" spans="1:17">
      <c r="A231" s="47" t="s">
        <v>17</v>
      </c>
      <c r="B231" s="475">
        <f>B229</f>
        <v>0.53369999999999995</v>
      </c>
      <c r="C231" s="48">
        <f>C229</f>
        <v>0</v>
      </c>
      <c r="D231" s="43"/>
      <c r="E231" s="173"/>
      <c r="F231" s="66">
        <v>3427661</v>
      </c>
      <c r="G231" s="53"/>
      <c r="H231" s="53">
        <f>F231*(B231-C231)/100</f>
        <v>18293.426756999997</v>
      </c>
      <c r="I231" s="53">
        <f>F231*C231/100</f>
        <v>0</v>
      </c>
      <c r="J231" s="53">
        <v>0</v>
      </c>
      <c r="K231" s="53">
        <v>0</v>
      </c>
      <c r="L231" s="53">
        <f>G231+H231+I231-J231+K231</f>
        <v>18293.426756999997</v>
      </c>
      <c r="M231" s="53">
        <v>0</v>
      </c>
      <c r="N231" s="53">
        <f>L231-M231</f>
        <v>18293.426756999997</v>
      </c>
      <c r="O231" s="53">
        <v>0</v>
      </c>
      <c r="P231" s="53">
        <v>0</v>
      </c>
      <c r="Q231" s="53">
        <f>N231-O231-P231</f>
        <v>18293.426756999997</v>
      </c>
    </row>
    <row r="232" spans="1:17">
      <c r="A232" s="47" t="s">
        <v>18</v>
      </c>
      <c r="B232" s="475"/>
      <c r="C232" s="48"/>
      <c r="D232" s="43"/>
      <c r="E232" s="173"/>
      <c r="F232" s="4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  <row r="233" spans="1:17">
      <c r="A233" s="67" t="s">
        <v>19</v>
      </c>
      <c r="B233" s="475">
        <f>B229</f>
        <v>0.53369999999999995</v>
      </c>
      <c r="C233" s="48">
        <f>C229</f>
        <v>0</v>
      </c>
      <c r="D233" s="43"/>
      <c r="E233" s="173"/>
      <c r="F233" s="43">
        <v>9924628.3599999994</v>
      </c>
      <c r="G233" s="53">
        <v>1644.68</v>
      </c>
      <c r="H233" s="53">
        <v>51333.2</v>
      </c>
      <c r="I233" s="53">
        <v>0</v>
      </c>
      <c r="J233" s="53">
        <v>1899.87</v>
      </c>
      <c r="K233" s="53">
        <v>0</v>
      </c>
      <c r="L233" s="53">
        <f>G233+H233+I233-J233+K233</f>
        <v>51078.009999999995</v>
      </c>
      <c r="M233" s="53">
        <v>6982.72</v>
      </c>
      <c r="N233" s="53">
        <f>L233-M233</f>
        <v>44095.289999999994</v>
      </c>
      <c r="O233" s="53">
        <v>0</v>
      </c>
      <c r="P233" s="53">
        <v>0</v>
      </c>
      <c r="Q233" s="53">
        <f>N233-O233-P233</f>
        <v>44095.289999999994</v>
      </c>
    </row>
    <row r="234" spans="1:17">
      <c r="A234" s="67" t="s">
        <v>20</v>
      </c>
      <c r="B234" s="475">
        <f>B229</f>
        <v>0.53369999999999995</v>
      </c>
      <c r="C234" s="48">
        <f>C229</f>
        <v>0</v>
      </c>
      <c r="D234" s="43"/>
      <c r="E234" s="173"/>
      <c r="F234" s="43">
        <v>2122436.27</v>
      </c>
      <c r="G234" s="53">
        <v>11030.3</v>
      </c>
      <c r="H234" s="53"/>
      <c r="I234" s="53">
        <v>0</v>
      </c>
      <c r="J234" s="53">
        <v>0</v>
      </c>
      <c r="K234" s="53">
        <v>0</v>
      </c>
      <c r="L234" s="53">
        <f>G234+H234+I234-J234+K234</f>
        <v>11030.3</v>
      </c>
      <c r="M234" s="53">
        <v>0</v>
      </c>
      <c r="N234" s="53">
        <f>L234-M234</f>
        <v>11030.3</v>
      </c>
      <c r="O234" s="53">
        <v>0</v>
      </c>
      <c r="P234" s="53">
        <v>0</v>
      </c>
      <c r="Q234" s="53">
        <f>N234-O234-P234</f>
        <v>11030.3</v>
      </c>
    </row>
    <row r="235" spans="1:17">
      <c r="A235" s="47"/>
      <c r="B235" s="475"/>
      <c r="C235" s="48"/>
      <c r="D235" s="43"/>
      <c r="E235" s="173"/>
      <c r="F235" s="4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</row>
    <row r="236" spans="1:17" s="50" customFormat="1" ht="13.5" thickBot="1">
      <c r="A236" s="60" t="str">
        <f>"TOTAL "&amp;A227</f>
        <v>TOTAL SMITH VALLEY FIRE MAINTENANCE DISTRICT</v>
      </c>
      <c r="B236" s="477">
        <f>B229</f>
        <v>0.53369999999999995</v>
      </c>
      <c r="C236" s="68">
        <f>C229</f>
        <v>0</v>
      </c>
      <c r="D236" s="69">
        <f t="shared" ref="D236:Q236" si="48">SUM(D229:D231,D233:D234)</f>
        <v>1553</v>
      </c>
      <c r="E236" s="204"/>
      <c r="F236" s="69">
        <f t="shared" si="48"/>
        <v>158125922.64161703</v>
      </c>
      <c r="G236" s="70">
        <f t="shared" si="48"/>
        <v>42044.965992999998</v>
      </c>
      <c r="H236" s="70">
        <f t="shared" si="48"/>
        <v>805724.96675699996</v>
      </c>
      <c r="I236" s="70">
        <f t="shared" si="48"/>
        <v>0</v>
      </c>
      <c r="J236" s="70">
        <f t="shared" si="48"/>
        <v>5998.5</v>
      </c>
      <c r="K236" s="70">
        <f t="shared" si="48"/>
        <v>86.23</v>
      </c>
      <c r="L236" s="70">
        <f t="shared" si="48"/>
        <v>841857.66275000013</v>
      </c>
      <c r="M236" s="70">
        <f t="shared" si="48"/>
        <v>214371.94</v>
      </c>
      <c r="N236" s="70">
        <f t="shared" si="48"/>
        <v>627485.72275000019</v>
      </c>
      <c r="O236" s="70">
        <f t="shared" si="48"/>
        <v>0</v>
      </c>
      <c r="P236" s="70">
        <f t="shared" si="48"/>
        <v>0</v>
      </c>
      <c r="Q236" s="70">
        <f t="shared" si="48"/>
        <v>627485.72275000019</v>
      </c>
    </row>
    <row r="237" spans="1:17">
      <c r="A237" s="150" t="s">
        <v>355</v>
      </c>
      <c r="B237" s="48"/>
      <c r="C237" s="48"/>
      <c r="D237" s="43"/>
      <c r="E237" s="173"/>
      <c r="F237" s="64">
        <v>157820841</v>
      </c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</row>
    <row r="238" spans="1:17">
      <c r="A238" s="151" t="s">
        <v>30</v>
      </c>
      <c r="B238" s="51"/>
      <c r="C238" s="51"/>
      <c r="D238" s="52"/>
      <c r="E238" s="203"/>
      <c r="F238" s="152">
        <f>F236-F237</f>
        <v>305081.64161702991</v>
      </c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</row>
    <row r="239" spans="1:17">
      <c r="A239" s="54" t="s">
        <v>186</v>
      </c>
      <c r="G239" s="64"/>
      <c r="H239" s="53"/>
      <c r="I239" s="53"/>
      <c r="J239" s="53"/>
      <c r="K239" s="53"/>
      <c r="L239" s="53"/>
      <c r="M239" s="53"/>
      <c r="N239" s="53"/>
      <c r="O239" s="53"/>
      <c r="P239" s="53"/>
      <c r="Q239" s="53"/>
    </row>
    <row r="240" spans="1:17">
      <c r="A240" s="83"/>
      <c r="B240" s="85"/>
      <c r="C240" s="85"/>
      <c r="D240" s="85"/>
      <c r="E240" s="65">
        <v>26574340</v>
      </c>
      <c r="F240" s="85"/>
      <c r="G240" s="86"/>
      <c r="H240" s="53"/>
      <c r="I240" s="53"/>
      <c r="J240" s="53"/>
      <c r="K240" s="53"/>
      <c r="L240" s="53"/>
      <c r="M240" s="53"/>
      <c r="N240" s="53"/>
      <c r="O240" s="53"/>
      <c r="P240" s="53"/>
      <c r="Q240" s="53"/>
    </row>
    <row r="241" spans="1:17">
      <c r="A241" s="49" t="s">
        <v>15</v>
      </c>
      <c r="B241" s="48">
        <v>0.5615</v>
      </c>
      <c r="C241" s="48">
        <v>0</v>
      </c>
      <c r="D241" s="43">
        <v>6542</v>
      </c>
      <c r="E241" s="173">
        <f>G241/B241*100</f>
        <v>7187540.516473731</v>
      </c>
      <c r="F241" s="43">
        <v>422108689</v>
      </c>
      <c r="G241" s="53">
        <v>40358.04</v>
      </c>
      <c r="H241" s="53">
        <v>2342493.54</v>
      </c>
      <c r="I241" s="53">
        <v>0</v>
      </c>
      <c r="J241" s="53">
        <v>12729.94</v>
      </c>
      <c r="K241" s="53">
        <v>149.65</v>
      </c>
      <c r="L241" s="53">
        <f>G241+H241+I241-J241+K241</f>
        <v>2370271.29</v>
      </c>
      <c r="M241" s="53">
        <v>416170.59</v>
      </c>
      <c r="N241" s="53">
        <f>L241-M241</f>
        <v>1954100.7</v>
      </c>
      <c r="O241" s="53">
        <v>0</v>
      </c>
      <c r="P241" s="53">
        <v>0</v>
      </c>
      <c r="Q241" s="53">
        <f>N241-O241-P241</f>
        <v>1954100.7</v>
      </c>
    </row>
    <row r="242" spans="1:17">
      <c r="A242" s="47" t="s">
        <v>16</v>
      </c>
      <c r="B242" s="48">
        <f>B241</f>
        <v>0.5615</v>
      </c>
      <c r="C242" s="48">
        <f>C241</f>
        <v>0</v>
      </c>
      <c r="D242" s="43"/>
      <c r="E242" s="173"/>
      <c r="F242" s="65">
        <f>IF(E240&gt;E241,E240-E241,0)</f>
        <v>19386799.483526267</v>
      </c>
      <c r="G242" s="53">
        <f>F242*(B242-C242)/100</f>
        <v>108856.87909999998</v>
      </c>
      <c r="H242" s="53"/>
      <c r="I242" s="53">
        <f>F242*C242/100</f>
        <v>0</v>
      </c>
      <c r="J242" s="53"/>
      <c r="K242" s="53"/>
      <c r="L242" s="53">
        <f>G242+H242+I242-J242+K242</f>
        <v>108856.87909999998</v>
      </c>
      <c r="M242" s="53"/>
      <c r="N242" s="53">
        <f>L242-M242</f>
        <v>108856.87909999998</v>
      </c>
      <c r="O242" s="53"/>
      <c r="P242" s="53"/>
      <c r="Q242" s="53">
        <f>N242-O242-P242</f>
        <v>108856.87909999998</v>
      </c>
    </row>
    <row r="243" spans="1:17">
      <c r="A243" s="47" t="s">
        <v>17</v>
      </c>
      <c r="B243" s="48">
        <f>B241</f>
        <v>0.5615</v>
      </c>
      <c r="C243" s="48">
        <f>C241</f>
        <v>0</v>
      </c>
      <c r="D243" s="43"/>
      <c r="E243" s="173"/>
      <c r="F243" s="66">
        <v>52747170</v>
      </c>
      <c r="G243" s="53"/>
      <c r="H243" s="53">
        <f>F243*(B243-C243)/100</f>
        <v>296175.35954999999</v>
      </c>
      <c r="I243" s="53">
        <f>F243*C243/100</f>
        <v>0</v>
      </c>
      <c r="J243" s="53">
        <v>0</v>
      </c>
      <c r="K243" s="53">
        <v>0</v>
      </c>
      <c r="L243" s="53">
        <f>G243+H243+I243-J243+K243</f>
        <v>296175.35954999999</v>
      </c>
      <c r="M243" s="53">
        <v>0</v>
      </c>
      <c r="N243" s="53">
        <f>L243-M243</f>
        <v>296175.35954999999</v>
      </c>
      <c r="O243" s="53">
        <v>0</v>
      </c>
      <c r="P243" s="53">
        <v>0</v>
      </c>
      <c r="Q243" s="53">
        <f>N243-O243-P243</f>
        <v>296175.35954999999</v>
      </c>
    </row>
    <row r="244" spans="1:17">
      <c r="A244" s="47" t="s">
        <v>18</v>
      </c>
      <c r="B244" s="48"/>
      <c r="C244" s="48"/>
      <c r="D244" s="43"/>
      <c r="E244" s="173"/>
      <c r="F244" s="4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</row>
    <row r="245" spans="1:17">
      <c r="A245" s="67" t="s">
        <v>19</v>
      </c>
      <c r="B245" s="48">
        <f>B241</f>
        <v>0.5615</v>
      </c>
      <c r="C245" s="48">
        <f>C241</f>
        <v>0</v>
      </c>
      <c r="D245" s="43"/>
      <c r="E245" s="173"/>
      <c r="F245" s="43">
        <v>86709567.560000002</v>
      </c>
      <c r="G245" s="53">
        <v>128402.63</v>
      </c>
      <c r="H245" s="53">
        <v>359054.98</v>
      </c>
      <c r="I245" s="53">
        <v>0</v>
      </c>
      <c r="J245" s="53">
        <v>103899.75</v>
      </c>
      <c r="K245" s="53">
        <v>0</v>
      </c>
      <c r="L245" s="53">
        <f>G245+H245+I245-J245+K245</f>
        <v>383557.86</v>
      </c>
      <c r="M245" s="53">
        <v>12591.33</v>
      </c>
      <c r="N245" s="53">
        <f>L245-M245</f>
        <v>370966.52999999997</v>
      </c>
      <c r="O245" s="53"/>
      <c r="P245" s="53"/>
      <c r="Q245" s="53">
        <f>N245-O245-P245</f>
        <v>370966.52999999997</v>
      </c>
    </row>
    <row r="246" spans="1:17">
      <c r="A246" s="67" t="s">
        <v>20</v>
      </c>
      <c r="B246" s="48">
        <f>B241</f>
        <v>0.5615</v>
      </c>
      <c r="C246" s="48">
        <f>C241</f>
        <v>0</v>
      </c>
      <c r="D246" s="43"/>
      <c r="E246" s="173"/>
      <c r="F246" s="43">
        <v>9526525.8800000008</v>
      </c>
      <c r="G246" s="53">
        <v>53143.13</v>
      </c>
      <c r="H246" s="53">
        <v>348.21</v>
      </c>
      <c r="I246" s="53">
        <v>0</v>
      </c>
      <c r="J246" s="53">
        <v>0</v>
      </c>
      <c r="K246" s="53">
        <v>0</v>
      </c>
      <c r="L246" s="53">
        <f>G246+H246+I246-J246+K246</f>
        <v>53491.34</v>
      </c>
      <c r="M246" s="53">
        <v>0.64</v>
      </c>
      <c r="N246" s="53">
        <f>L246-M246</f>
        <v>53490.7</v>
      </c>
      <c r="O246" s="53">
        <v>0</v>
      </c>
      <c r="P246" s="53">
        <v>0</v>
      </c>
      <c r="Q246" s="53">
        <f>N246-O246-P246</f>
        <v>53490.7</v>
      </c>
    </row>
    <row r="247" spans="1:17">
      <c r="A247" s="47"/>
      <c r="B247" s="48"/>
      <c r="C247" s="48"/>
      <c r="D247" s="43"/>
      <c r="E247" s="173"/>
      <c r="F247" s="4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</row>
    <row r="248" spans="1:17" s="50" customFormat="1" ht="13.5" thickBot="1">
      <c r="A248" s="60" t="str">
        <f>"TOTAL "&amp;A239</f>
        <v>TOTAL SOUTH LYON COUNTY HOSPITAL DISTRICT</v>
      </c>
      <c r="B248" s="68">
        <f>B241</f>
        <v>0.5615</v>
      </c>
      <c r="C248" s="68">
        <f>C241</f>
        <v>0</v>
      </c>
      <c r="D248" s="69">
        <f t="shared" ref="D248:Q248" si="49">SUM(D241:D243,D245:D246)</f>
        <v>6542</v>
      </c>
      <c r="E248" s="204"/>
      <c r="F248" s="69">
        <f>SUM(F241:F243,F245:F246)</f>
        <v>590478751.92352629</v>
      </c>
      <c r="G248" s="70">
        <f t="shared" si="49"/>
        <v>330760.67909999995</v>
      </c>
      <c r="H248" s="70">
        <f t="shared" si="49"/>
        <v>2998072.0895500001</v>
      </c>
      <c r="I248" s="70">
        <f t="shared" si="49"/>
        <v>0</v>
      </c>
      <c r="J248" s="70">
        <f t="shared" si="49"/>
        <v>116629.69</v>
      </c>
      <c r="K248" s="70">
        <f t="shared" si="49"/>
        <v>149.65</v>
      </c>
      <c r="L248" s="70">
        <f t="shared" si="49"/>
        <v>3212352.7286499999</v>
      </c>
      <c r="M248" s="70">
        <f>SUM(M241:M243,M245:M246)</f>
        <v>428762.56000000006</v>
      </c>
      <c r="N248" s="70">
        <f t="shared" si="49"/>
        <v>2783590.1686499999</v>
      </c>
      <c r="O248" s="70">
        <f t="shared" si="49"/>
        <v>0</v>
      </c>
      <c r="P248" s="70">
        <f t="shared" si="49"/>
        <v>0</v>
      </c>
      <c r="Q248" s="70">
        <f t="shared" si="49"/>
        <v>2783590.1686499999</v>
      </c>
    </row>
    <row r="249" spans="1:17">
      <c r="A249" s="150" t="s">
        <v>355</v>
      </c>
      <c r="B249" s="48"/>
      <c r="C249" s="48"/>
      <c r="D249" s="43"/>
      <c r="E249" s="173"/>
      <c r="F249" s="64">
        <v>572132383</v>
      </c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</row>
    <row r="250" spans="1:17">
      <c r="A250" s="151" t="s">
        <v>30</v>
      </c>
      <c r="B250" s="51"/>
      <c r="C250" s="51"/>
      <c r="D250" s="52"/>
      <c r="E250" s="203"/>
      <c r="F250" s="152">
        <f>F248-F249</f>
        <v>18346368.923526287</v>
      </c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</row>
    <row r="251" spans="1:17">
      <c r="A251" s="54" t="s">
        <v>187</v>
      </c>
      <c r="B251" s="84"/>
      <c r="C251" s="84"/>
      <c r="D251" s="84"/>
      <c r="E251" s="210"/>
      <c r="F251" s="84"/>
      <c r="G251" s="64"/>
      <c r="H251" s="53"/>
      <c r="I251" s="53"/>
      <c r="J251" s="53"/>
      <c r="K251" s="53"/>
      <c r="L251" s="53"/>
      <c r="M251" s="53"/>
      <c r="N251" s="53"/>
      <c r="O251" s="53"/>
      <c r="P251" s="53"/>
      <c r="Q251" s="53"/>
    </row>
    <row r="252" spans="1:17">
      <c r="E252" s="65">
        <v>186333</v>
      </c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</row>
    <row r="253" spans="1:17">
      <c r="A253" s="49" t="s">
        <v>15</v>
      </c>
      <c r="B253" s="48">
        <v>1.5599999999999999E-2</v>
      </c>
      <c r="C253" s="48">
        <v>0</v>
      </c>
      <c r="D253" s="43">
        <v>250</v>
      </c>
      <c r="E253" s="173">
        <f>G253/B253*100</f>
        <v>0</v>
      </c>
      <c r="F253" s="43">
        <v>10142715</v>
      </c>
      <c r="G253" s="53">
        <v>0</v>
      </c>
      <c r="H253" s="53">
        <v>1596.46</v>
      </c>
      <c r="I253" s="53">
        <v>0</v>
      </c>
      <c r="J253" s="53">
        <v>14.36</v>
      </c>
      <c r="K253" s="53">
        <v>0</v>
      </c>
      <c r="L253" s="53">
        <f>G253+H253+I253-J253+K253</f>
        <v>1582.1000000000001</v>
      </c>
      <c r="M253" s="53">
        <v>686.62</v>
      </c>
      <c r="N253" s="53">
        <f>L253-M253</f>
        <v>895.48000000000013</v>
      </c>
      <c r="O253" s="53">
        <v>0</v>
      </c>
      <c r="P253" s="53">
        <v>0</v>
      </c>
      <c r="Q253" s="53">
        <f>N253-O253-P253</f>
        <v>895.48000000000013</v>
      </c>
    </row>
    <row r="254" spans="1:17">
      <c r="A254" s="47" t="s">
        <v>16</v>
      </c>
      <c r="B254" s="48">
        <f>B253</f>
        <v>1.5599999999999999E-2</v>
      </c>
      <c r="C254" s="48">
        <f>C253</f>
        <v>0</v>
      </c>
      <c r="D254" s="43"/>
      <c r="E254" s="173">
        <v>0</v>
      </c>
      <c r="F254" s="65">
        <f>IF(E252&gt;E253,E252-E253,0)</f>
        <v>186333</v>
      </c>
      <c r="G254" s="53">
        <f>F254*(B254-C254)/100</f>
        <v>29.067947999999998</v>
      </c>
      <c r="H254" s="53"/>
      <c r="I254" s="53">
        <f>F254*C254/100</f>
        <v>0</v>
      </c>
      <c r="J254" s="53"/>
      <c r="K254" s="53"/>
      <c r="L254" s="53">
        <f>G254+H254+I254-J254+K254</f>
        <v>29.067947999999998</v>
      </c>
      <c r="M254" s="53"/>
      <c r="N254" s="53">
        <f>L254-M254</f>
        <v>29.067947999999998</v>
      </c>
      <c r="O254" s="53"/>
      <c r="P254" s="53"/>
      <c r="Q254" s="53">
        <f>N254-O254-P254</f>
        <v>29.067947999999998</v>
      </c>
    </row>
    <row r="255" spans="1:17">
      <c r="A255" s="47" t="s">
        <v>17</v>
      </c>
      <c r="B255" s="48">
        <f>B253</f>
        <v>1.5599999999999999E-2</v>
      </c>
      <c r="C255" s="48">
        <f>C253</f>
        <v>0</v>
      </c>
      <c r="D255" s="43"/>
      <c r="E255" s="173"/>
      <c r="F255" s="66">
        <v>81135</v>
      </c>
      <c r="G255" s="53"/>
      <c r="H255" s="53">
        <f>F255*(B255-C255)/100</f>
        <v>12.65706</v>
      </c>
      <c r="I255" s="53">
        <f>F255*C255/100</f>
        <v>0</v>
      </c>
      <c r="J255" s="53">
        <v>0</v>
      </c>
      <c r="K255" s="53">
        <v>0</v>
      </c>
      <c r="L255" s="53">
        <f>G255+H255+I255-J255+K255</f>
        <v>12.65706</v>
      </c>
      <c r="M255" s="53">
        <v>0</v>
      </c>
      <c r="N255" s="53">
        <f>L255-M255</f>
        <v>12.65706</v>
      </c>
      <c r="O255" s="53">
        <v>0</v>
      </c>
      <c r="P255" s="53">
        <v>0</v>
      </c>
      <c r="Q255" s="53">
        <f>N255-O255-P255</f>
        <v>12.65706</v>
      </c>
    </row>
    <row r="256" spans="1:17">
      <c r="A256" s="47" t="s">
        <v>18</v>
      </c>
      <c r="B256" s="48"/>
      <c r="C256" s="48"/>
      <c r="D256" s="43"/>
      <c r="E256" s="173"/>
      <c r="F256" s="4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</row>
    <row r="257" spans="1:17">
      <c r="A257" s="67" t="s">
        <v>19</v>
      </c>
      <c r="B257" s="48">
        <f>B253</f>
        <v>1.5599999999999999E-2</v>
      </c>
      <c r="C257" s="48">
        <f>C253</f>
        <v>0</v>
      </c>
      <c r="D257" s="43"/>
      <c r="E257" s="173"/>
      <c r="F257" s="43">
        <v>117713.28</v>
      </c>
      <c r="G257" s="53">
        <v>0.67</v>
      </c>
      <c r="H257" s="53">
        <v>17.690000000000001</v>
      </c>
      <c r="I257" s="53">
        <v>0</v>
      </c>
      <c r="J257" s="53">
        <v>0.77</v>
      </c>
      <c r="K257" s="53">
        <v>0</v>
      </c>
      <c r="L257" s="53">
        <f>G257+H257+I257-J257+K257</f>
        <v>17.590000000000003</v>
      </c>
      <c r="M257" s="53">
        <v>0.94</v>
      </c>
      <c r="N257" s="53">
        <f>L257-M257</f>
        <v>16.650000000000002</v>
      </c>
      <c r="O257" s="53">
        <v>0</v>
      </c>
      <c r="P257" s="53">
        <v>0</v>
      </c>
      <c r="Q257" s="53">
        <f>N257-O257-P257</f>
        <v>16.650000000000002</v>
      </c>
    </row>
    <row r="258" spans="1:17">
      <c r="A258" s="67" t="s">
        <v>20</v>
      </c>
      <c r="B258" s="48">
        <f>B253</f>
        <v>1.5599999999999999E-2</v>
      </c>
      <c r="C258" s="48">
        <f>C253</f>
        <v>0</v>
      </c>
      <c r="D258" s="43"/>
      <c r="E258" s="173"/>
      <c r="F258" s="43">
        <v>29017.46</v>
      </c>
      <c r="G258" s="53">
        <v>4.53</v>
      </c>
      <c r="H258" s="53"/>
      <c r="I258" s="53">
        <v>0</v>
      </c>
      <c r="J258" s="53">
        <v>0</v>
      </c>
      <c r="K258" s="53">
        <v>0</v>
      </c>
      <c r="L258" s="53">
        <f>G258+H258+I258-J258+K258</f>
        <v>4.53</v>
      </c>
      <c r="M258" s="53">
        <v>0</v>
      </c>
      <c r="N258" s="53">
        <f>L258-M258</f>
        <v>4.53</v>
      </c>
      <c r="O258" s="53">
        <v>0</v>
      </c>
      <c r="P258" s="53">
        <v>0</v>
      </c>
      <c r="Q258" s="53">
        <f>N258-O258-P258</f>
        <v>4.53</v>
      </c>
    </row>
    <row r="259" spans="1:17">
      <c r="A259" s="47"/>
      <c r="B259" s="48"/>
      <c r="C259" s="48"/>
      <c r="D259" s="43"/>
      <c r="E259" s="173"/>
      <c r="F259" s="4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</row>
    <row r="260" spans="1:17" s="50" customFormat="1" ht="13.5" thickBot="1">
      <c r="A260" s="60" t="str">
        <f>"TOTAL "&amp;A251</f>
        <v>TOTAL WILLOW CREEK GID</v>
      </c>
      <c r="B260" s="68">
        <f>B253</f>
        <v>1.5599999999999999E-2</v>
      </c>
      <c r="C260" s="68">
        <f>C253</f>
        <v>0</v>
      </c>
      <c r="D260" s="69">
        <f t="shared" ref="D260:Q260" si="50">SUM(D253:D255,D257:D258)</f>
        <v>250</v>
      </c>
      <c r="E260" s="204"/>
      <c r="F260" s="69">
        <f t="shared" si="50"/>
        <v>10556913.74</v>
      </c>
      <c r="G260" s="70">
        <f t="shared" si="50"/>
        <v>34.267947999999997</v>
      </c>
      <c r="H260" s="70">
        <f t="shared" si="50"/>
        <v>1626.8070600000001</v>
      </c>
      <c r="I260" s="70">
        <f t="shared" si="50"/>
        <v>0</v>
      </c>
      <c r="J260" s="70">
        <f t="shared" si="50"/>
        <v>15.129999999999999</v>
      </c>
      <c r="K260" s="70">
        <f t="shared" si="50"/>
        <v>0</v>
      </c>
      <c r="L260" s="70">
        <f t="shared" si="50"/>
        <v>1645.9450079999999</v>
      </c>
      <c r="M260" s="70">
        <f t="shared" si="50"/>
        <v>687.56000000000006</v>
      </c>
      <c r="N260" s="70">
        <f t="shared" si="50"/>
        <v>958.38500800000008</v>
      </c>
      <c r="O260" s="70">
        <f t="shared" si="50"/>
        <v>0</v>
      </c>
      <c r="P260" s="70">
        <f t="shared" si="50"/>
        <v>0</v>
      </c>
      <c r="Q260" s="70">
        <f t="shared" si="50"/>
        <v>958.38500800000008</v>
      </c>
    </row>
    <row r="261" spans="1:17">
      <c r="A261" s="150" t="s">
        <v>355</v>
      </c>
      <c r="B261" s="48"/>
      <c r="C261" s="48"/>
      <c r="D261" s="43"/>
      <c r="E261" s="173"/>
      <c r="F261" s="64">
        <v>10551973</v>
      </c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</row>
    <row r="262" spans="1:17">
      <c r="A262" s="151" t="s">
        <v>30</v>
      </c>
      <c r="B262" s="51"/>
      <c r="C262" s="51"/>
      <c r="D262" s="52"/>
      <c r="E262" s="203"/>
      <c r="F262" s="152">
        <f>F260-F261</f>
        <v>4940.7400000002235</v>
      </c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</row>
    <row r="263" spans="1:17"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</row>
    <row r="264" spans="1:17"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</row>
    <row r="265" spans="1:17">
      <c r="A265" s="50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</row>
    <row r="266" spans="1:17"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</row>
    <row r="267" spans="1:17">
      <c r="B267" s="48"/>
      <c r="C267" s="48"/>
      <c r="D267" s="43"/>
      <c r="E267" s="173"/>
      <c r="F267" s="4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</row>
    <row r="268" spans="1:17">
      <c r="A268" s="47"/>
      <c r="B268" s="48"/>
      <c r="C268" s="48"/>
      <c r="D268" s="43"/>
      <c r="E268" s="173"/>
      <c r="F268" s="4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</row>
    <row r="269" spans="1:17">
      <c r="A269" s="47"/>
      <c r="B269" s="48"/>
      <c r="C269" s="48"/>
      <c r="D269" s="43"/>
      <c r="E269" s="173"/>
      <c r="F269" s="4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</row>
    <row r="270" spans="1:17">
      <c r="A270" s="47"/>
      <c r="B270" s="48"/>
      <c r="C270" s="48"/>
      <c r="D270" s="43"/>
      <c r="E270" s="173"/>
      <c r="F270" s="4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</row>
    <row r="271" spans="1:17">
      <c r="A271" s="67"/>
      <c r="B271" s="48"/>
      <c r="C271" s="48"/>
      <c r="D271" s="43"/>
      <c r="E271" s="173"/>
      <c r="F271" s="4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</row>
    <row r="272" spans="1:17">
      <c r="A272" s="67"/>
      <c r="B272" s="48"/>
      <c r="C272" s="48"/>
      <c r="D272" s="43"/>
      <c r="E272" s="173"/>
      <c r="F272" s="4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</row>
    <row r="273" spans="1:17">
      <c r="A273" s="47"/>
      <c r="B273" s="48"/>
      <c r="C273" s="48"/>
      <c r="D273" s="43"/>
      <c r="E273" s="173"/>
      <c r="F273" s="4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</row>
    <row r="274" spans="1:17" s="50" customFormat="1">
      <c r="A274" s="57"/>
      <c r="B274" s="51"/>
      <c r="C274" s="51"/>
      <c r="D274" s="52"/>
      <c r="E274" s="203"/>
      <c r="F274" s="52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</row>
    <row r="275" spans="1:17"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</row>
    <row r="276" spans="1:17">
      <c r="A276" s="50"/>
      <c r="B276" s="50"/>
      <c r="C276" s="50"/>
      <c r="D276" s="50"/>
      <c r="E276" s="211"/>
      <c r="F276" s="50"/>
      <c r="G276" s="59"/>
      <c r="H276" s="53"/>
      <c r="I276" s="53"/>
      <c r="J276" s="53"/>
      <c r="K276" s="53"/>
      <c r="L276" s="53"/>
      <c r="M276" s="53"/>
      <c r="N276" s="53"/>
      <c r="O276" s="53"/>
      <c r="P276" s="53"/>
      <c r="Q276" s="53"/>
    </row>
    <row r="277" spans="1:17">
      <c r="A277" s="50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</row>
    <row r="278" spans="1:17"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</row>
    <row r="279" spans="1:17">
      <c r="B279" s="48"/>
      <c r="C279" s="48"/>
      <c r="D279" s="43"/>
      <c r="E279" s="173"/>
      <c r="F279" s="4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</row>
    <row r="280" spans="1:17">
      <c r="A280" s="47"/>
      <c r="B280" s="48"/>
      <c r="C280" s="48"/>
      <c r="D280" s="43"/>
      <c r="E280" s="173"/>
      <c r="F280" s="4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</row>
    <row r="281" spans="1:17">
      <c r="A281" s="47"/>
      <c r="B281" s="48"/>
      <c r="C281" s="48"/>
      <c r="D281" s="43"/>
      <c r="E281" s="173"/>
      <c r="F281" s="4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</row>
    <row r="282" spans="1:17">
      <c r="A282" s="47"/>
      <c r="B282" s="48"/>
      <c r="C282" s="48"/>
      <c r="D282" s="43"/>
      <c r="E282" s="173"/>
      <c r="F282" s="4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</row>
    <row r="283" spans="1:17">
      <c r="A283" s="67"/>
      <c r="B283" s="48"/>
      <c r="C283" s="48"/>
      <c r="D283" s="43"/>
      <c r="E283" s="173"/>
      <c r="F283" s="4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</row>
    <row r="284" spans="1:17">
      <c r="A284" s="67"/>
      <c r="B284" s="48"/>
      <c r="C284" s="48"/>
      <c r="D284" s="43"/>
      <c r="E284" s="173"/>
      <c r="F284" s="4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</row>
    <row r="285" spans="1:17">
      <c r="A285" s="47"/>
      <c r="B285" s="48"/>
      <c r="C285" s="48"/>
      <c r="D285" s="43"/>
      <c r="E285" s="173"/>
      <c r="F285" s="4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</row>
    <row r="286" spans="1:17" s="50" customFormat="1">
      <c r="A286" s="57"/>
      <c r="B286" s="51"/>
      <c r="C286" s="51"/>
      <c r="D286" s="52"/>
      <c r="E286" s="203"/>
      <c r="F286" s="52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</row>
    <row r="287" spans="1:17">
      <c r="A287" s="50"/>
      <c r="B287" s="50"/>
      <c r="C287" s="50"/>
      <c r="D287" s="50"/>
      <c r="E287" s="211"/>
      <c r="F287" s="50"/>
      <c r="G287" s="59"/>
      <c r="H287" s="53"/>
      <c r="I287" s="53"/>
      <c r="J287" s="53"/>
      <c r="K287" s="53"/>
      <c r="L287" s="53"/>
      <c r="M287" s="53"/>
      <c r="N287" s="53"/>
      <c r="O287" s="53"/>
      <c r="P287" s="53"/>
      <c r="Q287" s="53"/>
    </row>
    <row r="288" spans="1:17"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</row>
    <row r="289" spans="1:17">
      <c r="A289" s="50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</row>
    <row r="290" spans="1:17"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</row>
    <row r="291" spans="1:17">
      <c r="B291" s="48"/>
      <c r="C291" s="48"/>
      <c r="D291" s="43"/>
      <c r="E291" s="173"/>
      <c r="F291" s="4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</row>
    <row r="292" spans="1:17">
      <c r="A292" s="47"/>
      <c r="B292" s="48"/>
      <c r="C292" s="48"/>
      <c r="D292" s="43"/>
      <c r="E292" s="173"/>
      <c r="F292" s="4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</row>
    <row r="293" spans="1:17">
      <c r="A293" s="47"/>
      <c r="B293" s="48"/>
      <c r="C293" s="48"/>
      <c r="D293" s="43"/>
      <c r="E293" s="173"/>
      <c r="F293" s="4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</row>
    <row r="294" spans="1:17">
      <c r="A294" s="47"/>
      <c r="B294" s="48"/>
      <c r="C294" s="48"/>
      <c r="D294" s="43"/>
      <c r="E294" s="173"/>
      <c r="F294" s="4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</row>
    <row r="295" spans="1:17">
      <c r="A295" s="67"/>
      <c r="B295" s="48"/>
      <c r="C295" s="48"/>
      <c r="D295" s="43"/>
      <c r="E295" s="173"/>
      <c r="F295" s="4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</row>
    <row r="296" spans="1:17">
      <c r="A296" s="67"/>
      <c r="B296" s="48"/>
      <c r="C296" s="48"/>
      <c r="D296" s="43"/>
      <c r="E296" s="173"/>
      <c r="F296" s="4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</row>
    <row r="297" spans="1:17">
      <c r="A297" s="47"/>
      <c r="B297" s="48"/>
      <c r="C297" s="48"/>
      <c r="D297" s="43"/>
      <c r="E297" s="173"/>
      <c r="F297" s="4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</row>
    <row r="298" spans="1:17" s="50" customFormat="1">
      <c r="A298" s="57"/>
      <c r="B298" s="51"/>
      <c r="C298" s="51"/>
      <c r="D298" s="52"/>
      <c r="E298" s="203"/>
      <c r="F298" s="52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</row>
    <row r="299" spans="1:17"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</row>
    <row r="300" spans="1:17">
      <c r="A300" s="83"/>
      <c r="B300" s="84"/>
      <c r="C300" s="84"/>
      <c r="D300" s="84"/>
      <c r="E300" s="210"/>
      <c r="F300" s="84"/>
      <c r="G300" s="59"/>
      <c r="H300" s="53"/>
      <c r="I300" s="53"/>
      <c r="J300" s="53"/>
      <c r="K300" s="53"/>
      <c r="L300" s="53"/>
      <c r="M300" s="53"/>
      <c r="N300" s="53"/>
      <c r="O300" s="53"/>
      <c r="P300" s="53"/>
      <c r="Q300" s="53"/>
    </row>
    <row r="301" spans="1:17">
      <c r="A301" s="50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</row>
    <row r="302" spans="1:17">
      <c r="A302" s="50"/>
      <c r="B302" s="50"/>
      <c r="C302" s="50"/>
      <c r="D302" s="50"/>
      <c r="E302" s="211"/>
      <c r="F302" s="50"/>
      <c r="G302" s="59"/>
      <c r="H302" s="53"/>
      <c r="I302" s="53"/>
      <c r="J302" s="53"/>
      <c r="K302" s="53"/>
      <c r="L302" s="53"/>
      <c r="M302" s="53"/>
      <c r="N302" s="53"/>
      <c r="O302" s="53"/>
      <c r="P302" s="53"/>
      <c r="Q302" s="53"/>
    </row>
    <row r="303" spans="1:17">
      <c r="B303" s="48"/>
      <c r="C303" s="48"/>
      <c r="D303" s="43"/>
      <c r="E303" s="173"/>
      <c r="F303" s="4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</row>
    <row r="304" spans="1:17">
      <c r="A304" s="47"/>
      <c r="B304" s="48"/>
      <c r="C304" s="48"/>
      <c r="D304" s="43"/>
      <c r="E304" s="173"/>
      <c r="F304" s="4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</row>
    <row r="305" spans="1:17">
      <c r="A305" s="47"/>
      <c r="B305" s="48"/>
      <c r="C305" s="48"/>
      <c r="D305" s="43"/>
      <c r="E305" s="173"/>
      <c r="F305" s="4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</row>
    <row r="306" spans="1:17">
      <c r="A306" s="47"/>
      <c r="B306" s="48"/>
      <c r="C306" s="48"/>
      <c r="D306" s="43"/>
      <c r="E306" s="173"/>
      <c r="F306" s="4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</row>
    <row r="307" spans="1:17">
      <c r="A307" s="67"/>
      <c r="B307" s="48"/>
      <c r="C307" s="48"/>
      <c r="D307" s="43"/>
      <c r="E307" s="173"/>
      <c r="F307" s="4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</row>
    <row r="308" spans="1:17">
      <c r="A308" s="67"/>
      <c r="B308" s="48"/>
      <c r="C308" s="48"/>
      <c r="D308" s="43"/>
      <c r="E308" s="173"/>
      <c r="F308" s="4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</row>
    <row r="309" spans="1:17">
      <c r="A309" s="47"/>
      <c r="B309" s="48"/>
      <c r="C309" s="48"/>
      <c r="D309" s="43"/>
      <c r="E309" s="173"/>
      <c r="F309" s="4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</row>
    <row r="310" spans="1:17" s="50" customFormat="1">
      <c r="A310" s="57"/>
      <c r="B310" s="51"/>
      <c r="C310" s="51"/>
      <c r="D310" s="52"/>
      <c r="E310" s="203"/>
      <c r="F310" s="52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</row>
    <row r="311" spans="1:17"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</row>
    <row r="312" spans="1:17"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</row>
    <row r="313" spans="1:17">
      <c r="A313" s="50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</row>
    <row r="314" spans="1:17">
      <c r="A314" s="83"/>
      <c r="B314" s="84"/>
      <c r="C314" s="84"/>
      <c r="D314" s="84"/>
      <c r="E314" s="210"/>
      <c r="F314" s="84"/>
      <c r="G314" s="59"/>
      <c r="H314" s="53"/>
      <c r="I314" s="53"/>
      <c r="J314" s="53"/>
      <c r="K314" s="53"/>
      <c r="L314" s="53"/>
      <c r="M314" s="53"/>
      <c r="N314" s="53"/>
      <c r="O314" s="53"/>
      <c r="P314" s="53"/>
      <c r="Q314" s="53"/>
    </row>
    <row r="315" spans="1:17">
      <c r="B315" s="48"/>
      <c r="C315" s="48"/>
      <c r="D315" s="43"/>
      <c r="E315" s="173"/>
      <c r="F315" s="4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</row>
    <row r="316" spans="1:17">
      <c r="A316" s="47"/>
      <c r="B316" s="48"/>
      <c r="C316" s="48"/>
      <c r="D316" s="43"/>
      <c r="E316" s="173"/>
      <c r="F316" s="4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</row>
    <row r="317" spans="1:17">
      <c r="A317" s="47"/>
      <c r="B317" s="48"/>
      <c r="C317" s="48"/>
      <c r="D317" s="43"/>
      <c r="E317" s="173"/>
      <c r="F317" s="4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</row>
    <row r="318" spans="1:17">
      <c r="A318" s="47"/>
      <c r="B318" s="48"/>
      <c r="C318" s="48"/>
      <c r="D318" s="43"/>
      <c r="E318" s="173"/>
      <c r="F318" s="4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</row>
    <row r="319" spans="1:17">
      <c r="A319" s="67"/>
      <c r="B319" s="48"/>
      <c r="C319" s="48"/>
      <c r="D319" s="43"/>
      <c r="E319" s="173"/>
      <c r="F319" s="4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</row>
    <row r="320" spans="1:17">
      <c r="A320" s="67"/>
      <c r="B320" s="48"/>
      <c r="C320" s="48"/>
      <c r="D320" s="43"/>
      <c r="E320" s="173"/>
      <c r="F320" s="4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</row>
    <row r="321" spans="1:17">
      <c r="A321" s="47"/>
      <c r="B321" s="48"/>
      <c r="C321" s="48"/>
      <c r="D321" s="43"/>
      <c r="E321" s="173"/>
      <c r="F321" s="4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</row>
    <row r="322" spans="1:17" s="50" customFormat="1">
      <c r="A322" s="57"/>
      <c r="B322" s="51"/>
      <c r="C322" s="51"/>
      <c r="D322" s="52"/>
      <c r="E322" s="203"/>
      <c r="F322" s="52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</row>
    <row r="323" spans="1:17"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</row>
    <row r="324" spans="1:17"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</row>
    <row r="325" spans="1:17">
      <c r="A325" s="50"/>
      <c r="B325" s="50"/>
      <c r="C325" s="50"/>
      <c r="D325" s="50"/>
      <c r="E325" s="211"/>
      <c r="F325" s="50"/>
      <c r="G325" s="59"/>
      <c r="H325" s="53"/>
      <c r="I325" s="53"/>
      <c r="J325" s="53"/>
      <c r="K325" s="53"/>
      <c r="L325" s="53"/>
      <c r="M325" s="53"/>
      <c r="N325" s="53"/>
      <c r="O325" s="53"/>
      <c r="P325" s="53"/>
      <c r="Q325" s="53"/>
    </row>
    <row r="326" spans="1:17">
      <c r="A326" s="50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</row>
    <row r="327" spans="1:17">
      <c r="B327" s="48"/>
      <c r="C327" s="48"/>
      <c r="D327" s="43"/>
      <c r="E327" s="173"/>
      <c r="F327" s="4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</row>
    <row r="328" spans="1:17">
      <c r="A328" s="47"/>
      <c r="B328" s="48"/>
      <c r="C328" s="48"/>
      <c r="D328" s="43"/>
      <c r="E328" s="173"/>
      <c r="F328" s="4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</row>
    <row r="329" spans="1:17">
      <c r="A329" s="47"/>
      <c r="B329" s="48"/>
      <c r="C329" s="48"/>
      <c r="D329" s="43"/>
      <c r="E329" s="173"/>
      <c r="F329" s="4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</row>
    <row r="330" spans="1:17">
      <c r="A330" s="47"/>
      <c r="B330" s="48"/>
      <c r="C330" s="48"/>
      <c r="D330" s="43"/>
      <c r="E330" s="173"/>
      <c r="F330" s="4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</row>
    <row r="331" spans="1:17">
      <c r="A331" s="67"/>
      <c r="B331" s="48"/>
      <c r="C331" s="48"/>
      <c r="D331" s="43"/>
      <c r="E331" s="173"/>
      <c r="F331" s="4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</row>
    <row r="332" spans="1:17">
      <c r="A332" s="67"/>
      <c r="B332" s="48"/>
      <c r="C332" s="48"/>
      <c r="D332" s="43"/>
      <c r="E332" s="173"/>
      <c r="F332" s="4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</row>
    <row r="333" spans="1:17">
      <c r="A333" s="47"/>
      <c r="B333" s="48"/>
      <c r="C333" s="48"/>
      <c r="D333" s="43"/>
      <c r="E333" s="173"/>
      <c r="F333" s="4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</row>
    <row r="334" spans="1:17" s="50" customFormat="1">
      <c r="A334" s="57"/>
      <c r="B334" s="51"/>
      <c r="C334" s="51"/>
      <c r="D334" s="52"/>
      <c r="E334" s="203"/>
      <c r="F334" s="52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</row>
    <row r="335" spans="1:17">
      <c r="A335" s="50"/>
      <c r="B335" s="50"/>
      <c r="C335" s="50"/>
      <c r="D335" s="50"/>
      <c r="E335" s="211"/>
      <c r="F335" s="50"/>
      <c r="G335" s="59"/>
      <c r="H335" s="53"/>
      <c r="I335" s="53"/>
      <c r="J335" s="53"/>
      <c r="K335" s="53"/>
      <c r="L335" s="53"/>
      <c r="M335" s="53"/>
      <c r="N335" s="53"/>
      <c r="O335" s="53"/>
      <c r="P335" s="53"/>
      <c r="Q335" s="53"/>
    </row>
    <row r="336" spans="1:17"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</row>
    <row r="337" spans="1:17">
      <c r="A337" s="50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</row>
    <row r="338" spans="1:17"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</row>
    <row r="339" spans="1:17">
      <c r="B339" s="48"/>
      <c r="C339" s="48"/>
      <c r="D339" s="43"/>
      <c r="E339" s="173"/>
      <c r="F339" s="4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</row>
    <row r="340" spans="1:17">
      <c r="A340" s="47"/>
      <c r="B340" s="48"/>
      <c r="C340" s="48"/>
      <c r="D340" s="43"/>
      <c r="E340" s="173"/>
      <c r="F340" s="4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</row>
    <row r="341" spans="1:17">
      <c r="A341" s="47"/>
      <c r="B341" s="48"/>
      <c r="C341" s="48"/>
      <c r="D341" s="43"/>
      <c r="E341" s="173"/>
      <c r="F341" s="4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</row>
    <row r="342" spans="1:17">
      <c r="A342" s="47"/>
      <c r="B342" s="48"/>
      <c r="C342" s="48"/>
      <c r="D342" s="43"/>
      <c r="E342" s="173"/>
      <c r="F342" s="4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</row>
    <row r="343" spans="1:17">
      <c r="A343" s="67"/>
      <c r="B343" s="48"/>
      <c r="C343" s="48"/>
      <c r="D343" s="43"/>
      <c r="E343" s="173"/>
      <c r="F343" s="4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</row>
    <row r="344" spans="1:17">
      <c r="A344" s="67"/>
      <c r="B344" s="48"/>
      <c r="C344" s="48"/>
      <c r="D344" s="43"/>
      <c r="E344" s="173"/>
      <c r="F344" s="4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</row>
    <row r="345" spans="1:17">
      <c r="A345" s="47"/>
      <c r="B345" s="48"/>
      <c r="C345" s="48"/>
      <c r="D345" s="43"/>
      <c r="E345" s="173"/>
      <c r="F345" s="4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</row>
    <row r="346" spans="1:17" s="50" customFormat="1">
      <c r="A346" s="57"/>
      <c r="B346" s="51"/>
      <c r="C346" s="51"/>
      <c r="D346" s="52"/>
      <c r="E346" s="203"/>
      <c r="F346" s="52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</row>
    <row r="347" spans="1:17">
      <c r="A347" s="83"/>
      <c r="B347" s="84"/>
      <c r="C347" s="84"/>
      <c r="D347" s="84"/>
      <c r="E347" s="210"/>
      <c r="F347" s="84"/>
      <c r="G347" s="59"/>
      <c r="H347" s="53"/>
      <c r="I347" s="53"/>
      <c r="J347" s="53"/>
      <c r="K347" s="53"/>
      <c r="L347" s="53"/>
      <c r="M347" s="53"/>
      <c r="N347" s="53"/>
      <c r="O347" s="53"/>
      <c r="P347" s="53"/>
      <c r="Q347" s="53"/>
    </row>
    <row r="348" spans="1:17"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</row>
    <row r="349" spans="1:17">
      <c r="A349" s="50"/>
      <c r="B349" s="50"/>
      <c r="C349" s="50"/>
      <c r="D349" s="50"/>
      <c r="E349" s="211"/>
      <c r="F349" s="50"/>
      <c r="G349" s="59"/>
      <c r="H349" s="53"/>
      <c r="I349" s="53"/>
      <c r="J349" s="53"/>
      <c r="K349" s="53"/>
      <c r="L349" s="53"/>
      <c r="M349" s="53"/>
      <c r="N349" s="53"/>
      <c r="O349" s="53"/>
      <c r="P349" s="53"/>
      <c r="Q349" s="53"/>
    </row>
    <row r="350" spans="1:17"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</row>
    <row r="351" spans="1:17">
      <c r="B351" s="48"/>
      <c r="C351" s="48"/>
      <c r="D351" s="43"/>
      <c r="E351" s="173"/>
      <c r="F351" s="4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</row>
    <row r="352" spans="1:17">
      <c r="A352" s="47"/>
      <c r="B352" s="48"/>
      <c r="C352" s="48"/>
      <c r="D352" s="43"/>
      <c r="E352" s="173"/>
      <c r="F352" s="4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</row>
    <row r="353" spans="1:17">
      <c r="A353" s="47"/>
      <c r="B353" s="48"/>
      <c r="C353" s="48"/>
      <c r="D353" s="43"/>
      <c r="E353" s="173"/>
      <c r="F353" s="4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</row>
    <row r="354" spans="1:17">
      <c r="A354" s="47"/>
      <c r="B354" s="48"/>
      <c r="C354" s="48"/>
      <c r="D354" s="43"/>
      <c r="E354" s="173"/>
      <c r="F354" s="4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</row>
    <row r="355" spans="1:17">
      <c r="A355" s="67"/>
      <c r="B355" s="48"/>
      <c r="C355" s="48"/>
      <c r="D355" s="43"/>
      <c r="E355" s="173"/>
      <c r="F355" s="4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</row>
    <row r="356" spans="1:17">
      <c r="A356" s="67"/>
      <c r="B356" s="48"/>
      <c r="C356" s="48"/>
      <c r="D356" s="43"/>
      <c r="E356" s="173"/>
      <c r="F356" s="4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</row>
    <row r="357" spans="1:17">
      <c r="A357" s="47"/>
      <c r="B357" s="48"/>
      <c r="C357" s="48"/>
      <c r="D357" s="43"/>
      <c r="E357" s="173"/>
      <c r="F357" s="4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</row>
    <row r="358" spans="1:17" s="50" customFormat="1">
      <c r="B358" s="51"/>
      <c r="C358" s="51"/>
      <c r="D358" s="52"/>
      <c r="E358" s="203"/>
      <c r="F358" s="52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</row>
    <row r="359" spans="1:17"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</row>
    <row r="360" spans="1:17"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</row>
    <row r="361" spans="1:17">
      <c r="A361" s="50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</row>
    <row r="362" spans="1:17">
      <c r="A362" s="83"/>
      <c r="B362" s="85"/>
      <c r="C362" s="85"/>
      <c r="D362" s="85"/>
      <c r="E362" s="212"/>
      <c r="F362" s="85"/>
      <c r="G362" s="86"/>
      <c r="H362" s="53"/>
      <c r="I362" s="53"/>
      <c r="J362" s="53"/>
      <c r="K362" s="53"/>
      <c r="L362" s="53"/>
      <c r="M362" s="53"/>
      <c r="N362" s="53"/>
      <c r="O362" s="53"/>
      <c r="P362" s="53"/>
      <c r="Q362" s="53"/>
    </row>
    <row r="363" spans="1:17">
      <c r="B363" s="48"/>
      <c r="C363" s="48"/>
      <c r="D363" s="43"/>
      <c r="E363" s="173"/>
      <c r="F363" s="4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</row>
    <row r="364" spans="1:17">
      <c r="A364" s="47"/>
      <c r="B364" s="48"/>
      <c r="C364" s="48"/>
      <c r="D364" s="43"/>
      <c r="E364" s="173"/>
      <c r="F364" s="4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</row>
    <row r="365" spans="1:17">
      <c r="A365" s="47"/>
      <c r="B365" s="48"/>
      <c r="C365" s="48"/>
      <c r="D365" s="43"/>
      <c r="E365" s="173"/>
      <c r="F365" s="4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</row>
    <row r="366" spans="1:17">
      <c r="A366" s="47"/>
      <c r="B366" s="48"/>
      <c r="C366" s="48"/>
      <c r="D366" s="43"/>
      <c r="E366" s="173"/>
      <c r="F366" s="4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</row>
    <row r="367" spans="1:17">
      <c r="A367" s="67"/>
      <c r="B367" s="48"/>
      <c r="C367" s="48"/>
      <c r="D367" s="43"/>
      <c r="E367" s="173"/>
      <c r="F367" s="4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</row>
    <row r="368" spans="1:17">
      <c r="A368" s="67"/>
      <c r="B368" s="48"/>
      <c r="C368" s="48"/>
      <c r="D368" s="43"/>
      <c r="E368" s="173"/>
      <c r="F368" s="4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</row>
    <row r="369" spans="1:17">
      <c r="A369" s="47"/>
      <c r="B369" s="48"/>
      <c r="C369" s="48"/>
      <c r="D369" s="43"/>
      <c r="E369" s="173"/>
      <c r="F369" s="4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</row>
    <row r="370" spans="1:17" s="50" customFormat="1">
      <c r="B370" s="51"/>
      <c r="C370" s="51"/>
      <c r="D370" s="52"/>
      <c r="E370" s="203"/>
      <c r="F370" s="52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</row>
    <row r="371" spans="1:17"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</row>
    <row r="372" spans="1:17"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</row>
    <row r="373" spans="1:17">
      <c r="A373" s="50"/>
      <c r="B373" s="84"/>
      <c r="C373" s="84"/>
      <c r="D373" s="84"/>
      <c r="E373" s="210"/>
      <c r="F373" s="84"/>
      <c r="G373" s="59"/>
      <c r="H373" s="53"/>
      <c r="I373" s="53"/>
      <c r="J373" s="53"/>
      <c r="K373" s="53"/>
      <c r="L373" s="53"/>
      <c r="M373" s="53"/>
      <c r="N373" s="53"/>
      <c r="O373" s="53"/>
      <c r="P373" s="53"/>
      <c r="Q373" s="53"/>
    </row>
    <row r="374" spans="1:17"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</row>
    <row r="375" spans="1:17">
      <c r="B375" s="48"/>
      <c r="C375" s="48"/>
      <c r="D375" s="43"/>
      <c r="E375" s="173"/>
      <c r="F375" s="4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</row>
    <row r="376" spans="1:17">
      <c r="A376" s="47"/>
      <c r="B376" s="48"/>
      <c r="C376" s="48"/>
      <c r="D376" s="43"/>
      <c r="E376" s="173"/>
      <c r="F376" s="4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</row>
    <row r="377" spans="1:17">
      <c r="A377" s="47"/>
      <c r="B377" s="48"/>
      <c r="C377" s="48"/>
      <c r="D377" s="43"/>
      <c r="E377" s="173"/>
      <c r="F377" s="4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</row>
    <row r="378" spans="1:17">
      <c r="A378" s="47"/>
      <c r="B378" s="48"/>
      <c r="C378" s="48"/>
      <c r="D378" s="43"/>
      <c r="E378" s="173"/>
      <c r="F378" s="4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</row>
    <row r="379" spans="1:17">
      <c r="A379" s="67"/>
      <c r="B379" s="48"/>
      <c r="C379" s="48"/>
      <c r="D379" s="43"/>
      <c r="E379" s="173"/>
      <c r="F379" s="4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</row>
    <row r="380" spans="1:17">
      <c r="A380" s="67"/>
      <c r="B380" s="48"/>
      <c r="C380" s="48"/>
      <c r="D380" s="43"/>
      <c r="E380" s="173"/>
      <c r="F380" s="4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</row>
    <row r="381" spans="1:17">
      <c r="A381" s="47"/>
      <c r="B381" s="48"/>
      <c r="C381" s="48"/>
      <c r="D381" s="43"/>
      <c r="E381" s="173"/>
      <c r="F381" s="4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</row>
    <row r="382" spans="1:17" s="50" customFormat="1">
      <c r="B382" s="51"/>
      <c r="C382" s="51"/>
      <c r="D382" s="52"/>
      <c r="E382" s="203"/>
      <c r="F382" s="52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</row>
    <row r="383" spans="1:17"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</row>
    <row r="384" spans="1:17"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</row>
    <row r="385" spans="1:17">
      <c r="A385" s="50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</row>
    <row r="386" spans="1:17"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</row>
    <row r="387" spans="1:17">
      <c r="B387" s="48"/>
      <c r="C387" s="48"/>
      <c r="D387" s="43"/>
      <c r="E387" s="173"/>
      <c r="F387" s="4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</row>
    <row r="388" spans="1:17">
      <c r="A388" s="47"/>
      <c r="B388" s="48"/>
      <c r="C388" s="48"/>
      <c r="D388" s="43"/>
      <c r="E388" s="173"/>
      <c r="F388" s="4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</row>
    <row r="389" spans="1:17">
      <c r="A389" s="47"/>
      <c r="B389" s="48"/>
      <c r="C389" s="48"/>
      <c r="D389" s="43"/>
      <c r="E389" s="173"/>
      <c r="F389" s="4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</row>
    <row r="390" spans="1:17">
      <c r="A390" s="47"/>
      <c r="B390" s="48"/>
      <c r="C390" s="48"/>
      <c r="D390" s="43"/>
      <c r="E390" s="173"/>
      <c r="F390" s="4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</row>
    <row r="391" spans="1:17">
      <c r="A391" s="67"/>
      <c r="B391" s="48"/>
      <c r="C391" s="48"/>
      <c r="D391" s="43"/>
      <c r="E391" s="173"/>
      <c r="F391" s="4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</row>
    <row r="392" spans="1:17">
      <c r="A392" s="67"/>
      <c r="B392" s="48"/>
      <c r="C392" s="48"/>
      <c r="D392" s="43"/>
      <c r="E392" s="173"/>
      <c r="F392" s="4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</row>
    <row r="393" spans="1:17">
      <c r="A393" s="47"/>
      <c r="B393" s="48"/>
      <c r="C393" s="48"/>
      <c r="D393" s="43"/>
      <c r="E393" s="173"/>
      <c r="F393" s="4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</row>
    <row r="394" spans="1:17" s="50" customFormat="1">
      <c r="B394" s="51"/>
      <c r="C394" s="51"/>
      <c r="D394" s="52"/>
      <c r="E394" s="203"/>
      <c r="F394" s="52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</row>
    <row r="395" spans="1:17"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</row>
    <row r="396" spans="1:17">
      <c r="A396" s="50"/>
      <c r="B396" s="50"/>
      <c r="C396" s="50"/>
      <c r="D396" s="50"/>
      <c r="E396" s="211"/>
      <c r="F396" s="50"/>
      <c r="G396" s="59"/>
      <c r="H396" s="53"/>
      <c r="I396" s="53"/>
      <c r="J396" s="53"/>
      <c r="K396" s="53"/>
      <c r="L396" s="53"/>
      <c r="M396" s="53"/>
      <c r="N396" s="53"/>
      <c r="O396" s="53"/>
      <c r="P396" s="53"/>
      <c r="Q396" s="53"/>
    </row>
    <row r="397" spans="1:17">
      <c r="A397" s="50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</row>
    <row r="398" spans="1:17"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</row>
    <row r="399" spans="1:17">
      <c r="B399" s="48"/>
      <c r="C399" s="48"/>
      <c r="D399" s="43"/>
      <c r="E399" s="173"/>
      <c r="F399" s="4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</row>
    <row r="400" spans="1:17">
      <c r="A400" s="47"/>
      <c r="B400" s="48"/>
      <c r="C400" s="48"/>
      <c r="D400" s="43"/>
      <c r="E400" s="173"/>
      <c r="F400" s="4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</row>
    <row r="401" spans="1:17">
      <c r="A401" s="47"/>
      <c r="B401" s="48"/>
      <c r="C401" s="48"/>
      <c r="D401" s="43"/>
      <c r="E401" s="173"/>
      <c r="F401" s="4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</row>
    <row r="402" spans="1:17">
      <c r="A402" s="47"/>
      <c r="B402" s="48"/>
      <c r="C402" s="48"/>
      <c r="D402" s="43"/>
      <c r="E402" s="173"/>
      <c r="F402" s="4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</row>
    <row r="403" spans="1:17">
      <c r="A403" s="67"/>
      <c r="B403" s="48"/>
      <c r="C403" s="48"/>
      <c r="D403" s="43"/>
      <c r="E403" s="173"/>
      <c r="F403" s="4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</row>
    <row r="404" spans="1:17">
      <c r="A404" s="67"/>
      <c r="B404" s="48"/>
      <c r="C404" s="48"/>
      <c r="D404" s="43"/>
      <c r="E404" s="173"/>
      <c r="F404" s="4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</row>
    <row r="405" spans="1:17">
      <c r="A405" s="47"/>
      <c r="B405" s="48"/>
      <c r="C405" s="48"/>
      <c r="D405" s="43"/>
      <c r="E405" s="173"/>
      <c r="F405" s="4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</row>
    <row r="406" spans="1:17" s="50" customFormat="1">
      <c r="B406" s="51"/>
      <c r="C406" s="51"/>
      <c r="D406" s="52"/>
      <c r="E406" s="203"/>
      <c r="F406" s="52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</row>
    <row r="407" spans="1:17">
      <c r="A407" s="50"/>
      <c r="B407" s="50"/>
      <c r="C407" s="50"/>
      <c r="D407" s="50"/>
      <c r="E407" s="211"/>
      <c r="F407" s="50"/>
      <c r="G407" s="59"/>
      <c r="H407" s="53"/>
      <c r="I407" s="53"/>
      <c r="J407" s="53"/>
      <c r="K407" s="53"/>
      <c r="L407" s="53"/>
      <c r="M407" s="53"/>
      <c r="N407" s="53"/>
      <c r="O407" s="53"/>
      <c r="P407" s="53"/>
      <c r="Q407" s="53"/>
    </row>
    <row r="408" spans="1:17"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</row>
    <row r="409" spans="1:17">
      <c r="A409" s="50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</row>
    <row r="410" spans="1:17"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</row>
    <row r="411" spans="1:17">
      <c r="B411" s="48"/>
      <c r="C411" s="48"/>
      <c r="D411" s="43"/>
      <c r="E411" s="173"/>
      <c r="F411" s="4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</row>
    <row r="412" spans="1:17">
      <c r="A412" s="47"/>
      <c r="B412" s="48"/>
      <c r="C412" s="48"/>
      <c r="D412" s="43"/>
      <c r="E412" s="173"/>
      <c r="F412" s="4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</row>
    <row r="413" spans="1:17">
      <c r="A413" s="47"/>
      <c r="B413" s="48"/>
      <c r="C413" s="48"/>
      <c r="D413" s="43"/>
      <c r="E413" s="173"/>
      <c r="F413" s="4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</row>
    <row r="414" spans="1:17">
      <c r="A414" s="47"/>
      <c r="B414" s="48"/>
      <c r="C414" s="48"/>
      <c r="D414" s="43"/>
      <c r="E414" s="173"/>
      <c r="F414" s="4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</row>
    <row r="415" spans="1:17">
      <c r="A415" s="67"/>
      <c r="B415" s="48"/>
      <c r="C415" s="48"/>
      <c r="D415" s="43"/>
      <c r="E415" s="173"/>
      <c r="F415" s="4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</row>
    <row r="416" spans="1:17">
      <c r="A416" s="67"/>
      <c r="B416" s="48"/>
      <c r="C416" s="48"/>
      <c r="D416" s="43"/>
      <c r="E416" s="173"/>
      <c r="F416" s="4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</row>
    <row r="417" spans="1:17">
      <c r="A417" s="47"/>
      <c r="B417" s="48"/>
      <c r="C417" s="48"/>
      <c r="D417" s="43"/>
      <c r="E417" s="173"/>
      <c r="F417" s="4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</row>
    <row r="418" spans="1:17" s="50" customFormat="1">
      <c r="B418" s="51"/>
      <c r="C418" s="51"/>
      <c r="D418" s="52"/>
      <c r="E418" s="203"/>
      <c r="F418" s="52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</row>
    <row r="419" spans="1:17"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</row>
    <row r="420" spans="1:17">
      <c r="A420" s="83"/>
      <c r="B420" s="84"/>
      <c r="C420" s="84"/>
      <c r="D420" s="84"/>
      <c r="E420" s="210"/>
      <c r="F420" s="84"/>
      <c r="G420" s="59"/>
      <c r="H420" s="53"/>
      <c r="I420" s="53"/>
      <c r="J420" s="53"/>
      <c r="K420" s="53"/>
      <c r="L420" s="53"/>
      <c r="M420" s="53"/>
      <c r="N420" s="53"/>
      <c r="O420" s="53"/>
      <c r="P420" s="53"/>
      <c r="Q420" s="53"/>
    </row>
    <row r="421" spans="1:17">
      <c r="A421" s="50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</row>
    <row r="422" spans="1:17">
      <c r="A422" s="50"/>
      <c r="B422" s="50"/>
      <c r="C422" s="50"/>
      <c r="D422" s="50"/>
      <c r="E422" s="211"/>
      <c r="F422" s="50"/>
      <c r="G422" s="59"/>
      <c r="H422" s="53"/>
      <c r="I422" s="53"/>
      <c r="J422" s="53"/>
      <c r="K422" s="53"/>
      <c r="L422" s="53"/>
      <c r="M422" s="53"/>
      <c r="N422" s="53"/>
      <c r="O422" s="53"/>
      <c r="P422" s="53"/>
      <c r="Q422" s="53"/>
    </row>
    <row r="423" spans="1:17">
      <c r="B423" s="48"/>
      <c r="C423" s="48"/>
      <c r="D423" s="43"/>
      <c r="E423" s="173"/>
      <c r="F423" s="4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</row>
    <row r="424" spans="1:17">
      <c r="A424" s="47"/>
      <c r="B424" s="48"/>
      <c r="C424" s="48"/>
      <c r="D424" s="43"/>
      <c r="E424" s="173"/>
      <c r="F424" s="4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</row>
    <row r="425" spans="1:17">
      <c r="A425" s="47"/>
      <c r="B425" s="48"/>
      <c r="C425" s="48"/>
      <c r="D425" s="43"/>
      <c r="E425" s="173"/>
      <c r="F425" s="4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</row>
    <row r="426" spans="1:17">
      <c r="A426" s="47"/>
      <c r="B426" s="48"/>
      <c r="C426" s="48"/>
      <c r="D426" s="43"/>
      <c r="E426" s="173"/>
      <c r="F426" s="4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</row>
    <row r="427" spans="1:17">
      <c r="A427" s="67"/>
      <c r="B427" s="48"/>
      <c r="C427" s="48"/>
      <c r="D427" s="43"/>
      <c r="E427" s="173"/>
      <c r="F427" s="4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</row>
    <row r="428" spans="1:17">
      <c r="A428" s="67"/>
      <c r="B428" s="48"/>
      <c r="C428" s="48"/>
      <c r="D428" s="43"/>
      <c r="E428" s="173"/>
      <c r="F428" s="4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</row>
    <row r="429" spans="1:17">
      <c r="A429" s="47"/>
      <c r="B429" s="48"/>
      <c r="C429" s="48"/>
      <c r="D429" s="43"/>
      <c r="E429" s="173"/>
      <c r="F429" s="4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</row>
    <row r="430" spans="1:17" s="50" customFormat="1">
      <c r="B430" s="51"/>
      <c r="C430" s="51"/>
      <c r="D430" s="52"/>
      <c r="E430" s="203"/>
      <c r="F430" s="52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</row>
    <row r="431" spans="1:17"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</row>
    <row r="432" spans="1:17"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</row>
    <row r="433" spans="1:17">
      <c r="A433" s="50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</row>
    <row r="434" spans="1:17">
      <c r="A434" s="83"/>
      <c r="B434" s="84"/>
      <c r="C434" s="84"/>
      <c r="D434" s="84"/>
      <c r="E434" s="210"/>
      <c r="F434" s="84"/>
      <c r="G434" s="59"/>
      <c r="H434" s="53"/>
      <c r="I434" s="53"/>
      <c r="J434" s="53"/>
      <c r="K434" s="53"/>
      <c r="L434" s="53"/>
      <c r="M434" s="53"/>
      <c r="N434" s="53"/>
      <c r="O434" s="53"/>
      <c r="P434" s="53"/>
      <c r="Q434" s="53"/>
    </row>
    <row r="435" spans="1:17">
      <c r="B435" s="48"/>
      <c r="C435" s="48"/>
      <c r="D435" s="43"/>
      <c r="E435" s="173"/>
      <c r="F435" s="4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</row>
    <row r="436" spans="1:17">
      <c r="A436" s="47"/>
      <c r="B436" s="48"/>
      <c r="C436" s="48"/>
      <c r="D436" s="43"/>
      <c r="E436" s="173"/>
      <c r="F436" s="4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</row>
    <row r="437" spans="1:17">
      <c r="A437" s="47"/>
      <c r="B437" s="48"/>
      <c r="C437" s="48"/>
      <c r="D437" s="43"/>
      <c r="E437" s="173"/>
      <c r="F437" s="4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</row>
    <row r="438" spans="1:17">
      <c r="A438" s="47"/>
      <c r="B438" s="48"/>
      <c r="C438" s="48"/>
      <c r="D438" s="43"/>
      <c r="E438" s="173"/>
      <c r="F438" s="4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</row>
    <row r="439" spans="1:17">
      <c r="A439" s="67"/>
      <c r="B439" s="48"/>
      <c r="C439" s="48"/>
      <c r="D439" s="43"/>
      <c r="E439" s="173"/>
      <c r="F439" s="4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</row>
    <row r="440" spans="1:17">
      <c r="A440" s="67"/>
      <c r="B440" s="48"/>
      <c r="C440" s="48"/>
      <c r="D440" s="43"/>
      <c r="E440" s="173"/>
      <c r="F440" s="4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</row>
    <row r="441" spans="1:17">
      <c r="A441" s="47"/>
      <c r="B441" s="48"/>
      <c r="C441" s="48"/>
      <c r="D441" s="43"/>
      <c r="E441" s="173"/>
      <c r="F441" s="4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</row>
    <row r="442" spans="1:17" s="50" customFormat="1">
      <c r="B442" s="51"/>
      <c r="C442" s="51"/>
      <c r="D442" s="52"/>
      <c r="E442" s="203"/>
      <c r="F442" s="52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</row>
    <row r="443" spans="1:17"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</row>
    <row r="444" spans="1:17"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</row>
    <row r="445" spans="1:17">
      <c r="A445" s="50"/>
      <c r="B445" s="50"/>
      <c r="C445" s="50"/>
      <c r="D445" s="50"/>
      <c r="E445" s="211"/>
      <c r="F445" s="50"/>
      <c r="G445" s="59"/>
      <c r="H445" s="53"/>
      <c r="I445" s="53"/>
      <c r="J445" s="53"/>
      <c r="K445" s="53"/>
      <c r="L445" s="53"/>
      <c r="M445" s="53"/>
      <c r="N445" s="53"/>
      <c r="O445" s="53"/>
      <c r="P445" s="53"/>
      <c r="Q445" s="53"/>
    </row>
    <row r="446" spans="1:17">
      <c r="A446" s="50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</row>
    <row r="447" spans="1:17">
      <c r="B447" s="48"/>
      <c r="C447" s="48"/>
      <c r="D447" s="43"/>
      <c r="E447" s="173"/>
      <c r="F447" s="4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</row>
    <row r="448" spans="1:17">
      <c r="A448" s="47"/>
      <c r="B448" s="48"/>
      <c r="C448" s="48"/>
      <c r="D448" s="43"/>
      <c r="E448" s="173"/>
      <c r="F448" s="4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</row>
    <row r="449" spans="1:17">
      <c r="A449" s="47"/>
      <c r="B449" s="48"/>
      <c r="C449" s="48"/>
      <c r="D449" s="43"/>
      <c r="E449" s="173"/>
      <c r="F449" s="4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</row>
    <row r="450" spans="1:17">
      <c r="A450" s="47"/>
      <c r="B450" s="48"/>
      <c r="C450" s="48"/>
      <c r="D450" s="43"/>
      <c r="E450" s="173"/>
      <c r="F450" s="4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</row>
    <row r="451" spans="1:17">
      <c r="A451" s="67"/>
      <c r="B451" s="48"/>
      <c r="C451" s="48"/>
      <c r="D451" s="43"/>
      <c r="E451" s="173"/>
      <c r="F451" s="4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</row>
    <row r="452" spans="1:17">
      <c r="A452" s="67"/>
      <c r="B452" s="48"/>
      <c r="C452" s="48"/>
      <c r="D452" s="43"/>
      <c r="E452" s="173"/>
      <c r="F452" s="4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</row>
    <row r="453" spans="1:17">
      <c r="A453" s="47"/>
      <c r="B453" s="48"/>
      <c r="C453" s="48"/>
      <c r="D453" s="43"/>
      <c r="E453" s="173"/>
      <c r="F453" s="4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</row>
    <row r="454" spans="1:17" s="50" customFormat="1">
      <c r="B454" s="51"/>
      <c r="C454" s="51"/>
      <c r="D454" s="52"/>
      <c r="E454" s="203"/>
      <c r="F454" s="52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</row>
    <row r="455" spans="1:17">
      <c r="A455" s="50"/>
      <c r="B455" s="50"/>
      <c r="C455" s="50"/>
      <c r="D455" s="50"/>
      <c r="E455" s="211"/>
      <c r="F455" s="50"/>
      <c r="G455" s="59"/>
      <c r="H455" s="53"/>
      <c r="I455" s="53"/>
      <c r="J455" s="53"/>
      <c r="K455" s="53"/>
      <c r="L455" s="53"/>
      <c r="M455" s="53"/>
      <c r="N455" s="53"/>
      <c r="O455" s="53"/>
      <c r="P455" s="53"/>
      <c r="Q455" s="53"/>
    </row>
    <row r="456" spans="1:17"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</row>
    <row r="457" spans="1:17">
      <c r="A457" s="50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</row>
    <row r="458" spans="1:17"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</row>
    <row r="459" spans="1:17">
      <c r="B459" s="48"/>
      <c r="C459" s="48"/>
      <c r="D459" s="43"/>
      <c r="E459" s="173"/>
      <c r="F459" s="4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</row>
    <row r="460" spans="1:17">
      <c r="A460" s="47"/>
      <c r="B460" s="48"/>
      <c r="C460" s="48"/>
      <c r="D460" s="43"/>
      <c r="E460" s="173"/>
      <c r="F460" s="4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</row>
    <row r="461" spans="1:17">
      <c r="A461" s="47"/>
      <c r="B461" s="48"/>
      <c r="C461" s="48"/>
      <c r="D461" s="43"/>
      <c r="E461" s="173"/>
      <c r="F461" s="4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</row>
    <row r="462" spans="1:17">
      <c r="A462" s="47"/>
      <c r="B462" s="48"/>
      <c r="C462" s="48"/>
      <c r="D462" s="43"/>
      <c r="E462" s="173"/>
      <c r="F462" s="4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</row>
    <row r="463" spans="1:17">
      <c r="A463" s="67"/>
      <c r="B463" s="48"/>
      <c r="C463" s="48"/>
      <c r="D463" s="43"/>
      <c r="E463" s="173"/>
      <c r="F463" s="4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</row>
    <row r="464" spans="1:17">
      <c r="A464" s="67"/>
      <c r="B464" s="48"/>
      <c r="C464" s="48"/>
      <c r="D464" s="43"/>
      <c r="E464" s="173"/>
      <c r="F464" s="4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</row>
    <row r="465" spans="1:17">
      <c r="A465" s="47"/>
      <c r="B465" s="48"/>
      <c r="C465" s="48"/>
      <c r="D465" s="43"/>
      <c r="E465" s="173"/>
      <c r="F465" s="4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</row>
    <row r="466" spans="1:17" s="50" customFormat="1">
      <c r="B466" s="51"/>
      <c r="C466" s="51"/>
      <c r="D466" s="52"/>
      <c r="E466" s="203"/>
      <c r="F466" s="52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</row>
    <row r="467" spans="1:17">
      <c r="A467" s="83"/>
      <c r="B467" s="84"/>
      <c r="C467" s="84"/>
      <c r="D467" s="84"/>
      <c r="E467" s="210"/>
      <c r="F467" s="84"/>
      <c r="G467" s="59"/>
      <c r="H467" s="53"/>
      <c r="I467" s="53"/>
      <c r="J467" s="53"/>
      <c r="K467" s="53"/>
      <c r="L467" s="53"/>
      <c r="M467" s="53"/>
      <c r="N467" s="53"/>
      <c r="O467" s="53"/>
      <c r="P467" s="53"/>
      <c r="Q467" s="53"/>
    </row>
    <row r="468" spans="1:17"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</row>
    <row r="469" spans="1:17">
      <c r="A469" s="50"/>
      <c r="B469" s="50"/>
      <c r="C469" s="50"/>
      <c r="D469" s="50"/>
      <c r="E469" s="211"/>
      <c r="F469" s="50"/>
      <c r="G469" s="59"/>
      <c r="H469" s="53"/>
      <c r="I469" s="53"/>
      <c r="J469" s="53"/>
      <c r="K469" s="53"/>
      <c r="L469" s="53"/>
      <c r="M469" s="53"/>
      <c r="N469" s="53"/>
      <c r="O469" s="53"/>
      <c r="P469" s="53"/>
      <c r="Q469" s="53"/>
    </row>
    <row r="470" spans="1:17"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</row>
    <row r="471" spans="1:17">
      <c r="B471" s="48"/>
      <c r="C471" s="48"/>
      <c r="D471" s="43"/>
      <c r="E471" s="173"/>
      <c r="F471" s="4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</row>
    <row r="472" spans="1:17">
      <c r="A472" s="47"/>
      <c r="B472" s="48"/>
      <c r="C472" s="48"/>
      <c r="D472" s="43"/>
      <c r="E472" s="173"/>
      <c r="F472" s="4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</row>
    <row r="473" spans="1:17">
      <c r="A473" s="47"/>
      <c r="B473" s="48"/>
      <c r="C473" s="48"/>
      <c r="D473" s="43"/>
      <c r="E473" s="173"/>
      <c r="F473" s="4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</row>
    <row r="474" spans="1:17">
      <c r="A474" s="47"/>
      <c r="B474" s="48"/>
      <c r="C474" s="48"/>
      <c r="D474" s="43"/>
      <c r="E474" s="173"/>
      <c r="F474" s="4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</row>
    <row r="475" spans="1:17">
      <c r="A475" s="67"/>
      <c r="B475" s="48"/>
      <c r="C475" s="48"/>
      <c r="D475" s="43"/>
      <c r="E475" s="173"/>
      <c r="F475" s="4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</row>
    <row r="476" spans="1:17">
      <c r="A476" s="67"/>
      <c r="B476" s="48"/>
      <c r="C476" s="48"/>
      <c r="D476" s="43"/>
      <c r="E476" s="173"/>
      <c r="F476" s="4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</row>
    <row r="477" spans="1:17">
      <c r="A477" s="47"/>
      <c r="B477" s="48"/>
      <c r="C477" s="48"/>
      <c r="D477" s="43"/>
      <c r="E477" s="173"/>
      <c r="F477" s="4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</row>
    <row r="478" spans="1:17" s="50" customFormat="1">
      <c r="B478" s="51"/>
      <c r="C478" s="51"/>
      <c r="D478" s="52"/>
      <c r="E478" s="203"/>
      <c r="F478" s="52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</row>
    <row r="480" spans="1:17">
      <c r="A480" s="50"/>
      <c r="B480" s="50"/>
      <c r="C480" s="50"/>
      <c r="D480" s="50"/>
      <c r="E480" s="211"/>
      <c r="F480" s="50"/>
      <c r="G480" s="50"/>
    </row>
    <row r="486" spans="1:7">
      <c r="A486" s="83"/>
      <c r="B486" s="85"/>
      <c r="C486" s="85"/>
      <c r="D486" s="85"/>
      <c r="E486" s="212"/>
      <c r="F486" s="85"/>
      <c r="G486" s="85"/>
    </row>
    <row r="489" spans="1:7">
      <c r="A489" s="50"/>
      <c r="B489" s="50"/>
      <c r="C489" s="50"/>
      <c r="D489" s="50"/>
      <c r="E489" s="211"/>
      <c r="F489" s="50"/>
      <c r="G489" s="50"/>
    </row>
    <row r="490" spans="1:7">
      <c r="A490" s="50"/>
    </row>
    <row r="491" spans="1:7">
      <c r="A491" s="50"/>
      <c r="B491" s="50"/>
      <c r="C491" s="50"/>
      <c r="D491" s="50"/>
      <c r="E491" s="211"/>
      <c r="F491" s="50"/>
      <c r="G491" s="50"/>
    </row>
    <row r="497" spans="1:7">
      <c r="A497" s="50"/>
      <c r="B497" s="84"/>
      <c r="C497" s="84"/>
      <c r="D497" s="84"/>
      <c r="E497" s="210"/>
      <c r="F497" s="84"/>
      <c r="G497" s="84"/>
    </row>
    <row r="499" spans="1:7">
      <c r="A499" s="50"/>
      <c r="B499" s="50"/>
      <c r="C499" s="50"/>
      <c r="D499" s="50"/>
      <c r="E499" s="211"/>
      <c r="F499" s="50"/>
      <c r="G499" s="50"/>
    </row>
    <row r="504" spans="1:7">
      <c r="A504" s="83"/>
      <c r="B504" s="84"/>
      <c r="C504" s="84"/>
      <c r="D504" s="84"/>
      <c r="E504" s="210"/>
      <c r="F504" s="84"/>
      <c r="G504" s="84"/>
    </row>
    <row r="506" spans="1:7">
      <c r="A506" s="50"/>
      <c r="B506" s="50"/>
      <c r="C506" s="50"/>
      <c r="D506" s="50"/>
      <c r="E506" s="211"/>
      <c r="F506" s="50"/>
      <c r="G506" s="50"/>
    </row>
    <row r="511" spans="1:7">
      <c r="A511" s="83"/>
      <c r="B511" s="84"/>
      <c r="C511" s="84"/>
      <c r="D511" s="84"/>
      <c r="E511" s="210"/>
      <c r="F511" s="84"/>
      <c r="G511" s="84"/>
    </row>
    <row r="513" spans="1:7">
      <c r="A513" s="50"/>
      <c r="B513" s="50"/>
      <c r="C513" s="50"/>
      <c r="D513" s="50"/>
      <c r="E513" s="211"/>
      <c r="F513" s="50"/>
      <c r="G513" s="50"/>
    </row>
    <row r="518" spans="1:7">
      <c r="A518" s="83"/>
      <c r="B518" s="84"/>
      <c r="C518" s="84"/>
      <c r="D518" s="84"/>
      <c r="E518" s="210"/>
      <c r="F518" s="84"/>
      <c r="G518" s="84"/>
    </row>
    <row r="520" spans="1:7">
      <c r="A520" s="50"/>
      <c r="B520" s="50"/>
      <c r="C520" s="50"/>
      <c r="D520" s="50"/>
      <c r="E520" s="211"/>
      <c r="F520" s="50"/>
      <c r="G520" s="50"/>
    </row>
    <row r="526" spans="1:7">
      <c r="A526" s="83"/>
      <c r="B526" s="85"/>
      <c r="C526" s="85"/>
      <c r="D526" s="85"/>
      <c r="E526" s="212"/>
      <c r="F526" s="85"/>
      <c r="G526" s="85"/>
    </row>
    <row r="529" spans="1:7">
      <c r="A529" s="50"/>
      <c r="B529" s="50"/>
      <c r="C529" s="50"/>
      <c r="D529" s="50"/>
      <c r="E529" s="211"/>
      <c r="F529" s="50"/>
      <c r="G529" s="50"/>
    </row>
    <row r="530" spans="1:7">
      <c r="A530" s="50"/>
    </row>
    <row r="531" spans="1:7">
      <c r="A531" s="50"/>
      <c r="B531" s="50"/>
      <c r="C531" s="50"/>
      <c r="D531" s="50"/>
      <c r="E531" s="211"/>
      <c r="F531" s="50"/>
      <c r="G531" s="50"/>
    </row>
    <row r="537" spans="1:7">
      <c r="A537" s="50"/>
      <c r="B537" s="84"/>
      <c r="C537" s="84"/>
      <c r="D537" s="84"/>
      <c r="E537" s="210"/>
      <c r="F537" s="84"/>
      <c r="G537" s="84"/>
    </row>
    <row r="539" spans="1:7">
      <c r="A539" s="50"/>
      <c r="B539" s="50"/>
      <c r="C539" s="50"/>
      <c r="D539" s="50"/>
      <c r="E539" s="211"/>
      <c r="F539" s="50"/>
      <c r="G539" s="50"/>
    </row>
    <row r="544" spans="1:7">
      <c r="A544" s="83"/>
      <c r="B544" s="84"/>
      <c r="C544" s="84"/>
      <c r="D544" s="84"/>
      <c r="E544" s="210"/>
      <c r="F544" s="84"/>
      <c r="G544" s="84"/>
    </row>
    <row r="546" spans="1:7">
      <c r="A546" s="50"/>
      <c r="B546" s="50"/>
      <c r="C546" s="50"/>
      <c r="D546" s="50"/>
      <c r="E546" s="211"/>
      <c r="F546" s="50"/>
      <c r="G546" s="50"/>
    </row>
    <row r="551" spans="1:7">
      <c r="A551" s="83"/>
      <c r="B551" s="84"/>
      <c r="C551" s="84"/>
      <c r="D551" s="84"/>
      <c r="E551" s="210"/>
      <c r="F551" s="84"/>
      <c r="G551" s="84"/>
    </row>
    <row r="553" spans="1:7">
      <c r="A553" s="50"/>
      <c r="B553" s="50"/>
      <c r="C553" s="50"/>
      <c r="D553" s="50"/>
      <c r="E553" s="211"/>
      <c r="F553" s="50"/>
      <c r="G553" s="50"/>
    </row>
    <row r="558" spans="1:7">
      <c r="A558" s="83"/>
      <c r="B558" s="84"/>
      <c r="C558" s="84"/>
      <c r="D558" s="84"/>
      <c r="E558" s="210"/>
      <c r="F558" s="84"/>
      <c r="G558" s="84"/>
    </row>
    <row r="560" spans="1:7">
      <c r="A560" s="50"/>
      <c r="B560" s="50"/>
      <c r="C560" s="50"/>
      <c r="D560" s="50"/>
      <c r="E560" s="211"/>
      <c r="F560" s="50"/>
      <c r="G560" s="50"/>
    </row>
    <row r="566" spans="1:7">
      <c r="A566" s="83"/>
      <c r="B566" s="85"/>
      <c r="C566" s="85"/>
      <c r="D566" s="85"/>
      <c r="E566" s="212"/>
      <c r="F566" s="85"/>
      <c r="G566" s="85"/>
    </row>
    <row r="569" spans="1:7">
      <c r="A569" s="50"/>
      <c r="B569" s="50"/>
      <c r="C569" s="50"/>
      <c r="D569" s="50"/>
      <c r="E569" s="211"/>
      <c r="F569" s="50"/>
      <c r="G569" s="50"/>
    </row>
    <row r="570" spans="1:7">
      <c r="A570" s="50"/>
    </row>
    <row r="571" spans="1:7">
      <c r="A571" s="50"/>
      <c r="B571" s="50"/>
      <c r="C571" s="50"/>
      <c r="D571" s="50"/>
      <c r="E571" s="211"/>
      <c r="F571" s="50"/>
      <c r="G571" s="50"/>
    </row>
    <row r="577" spans="1:7">
      <c r="A577" s="50"/>
      <c r="B577" s="84"/>
      <c r="C577" s="84"/>
      <c r="D577" s="84"/>
      <c r="E577" s="210"/>
      <c r="F577" s="84"/>
      <c r="G577" s="84"/>
    </row>
    <row r="579" spans="1:7">
      <c r="A579" s="50"/>
      <c r="B579" s="50"/>
      <c r="C579" s="50"/>
      <c r="D579" s="50"/>
      <c r="E579" s="211"/>
      <c r="F579" s="50"/>
      <c r="G579" s="50"/>
    </row>
    <row r="584" spans="1:7">
      <c r="A584" s="83"/>
      <c r="B584" s="84"/>
      <c r="C584" s="84"/>
      <c r="D584" s="84"/>
      <c r="E584" s="210"/>
      <c r="F584" s="84"/>
      <c r="G584" s="84"/>
    </row>
    <row r="586" spans="1:7">
      <c r="A586" s="50"/>
      <c r="B586" s="50"/>
      <c r="C586" s="50"/>
      <c r="D586" s="50"/>
      <c r="E586" s="211"/>
      <c r="F586" s="50"/>
      <c r="G586" s="50"/>
    </row>
    <row r="591" spans="1:7">
      <c r="A591" s="83"/>
      <c r="B591" s="84"/>
      <c r="C591" s="84"/>
      <c r="D591" s="84"/>
      <c r="E591" s="210"/>
      <c r="F591" s="84"/>
      <c r="G591" s="84"/>
    </row>
    <row r="593" spans="1:7">
      <c r="A593" s="50"/>
      <c r="B593" s="50"/>
      <c r="C593" s="50"/>
      <c r="D593" s="50"/>
      <c r="E593" s="211"/>
      <c r="F593" s="50"/>
      <c r="G593" s="50"/>
    </row>
    <row r="598" spans="1:7">
      <c r="A598" s="83"/>
      <c r="B598" s="84"/>
      <c r="C598" s="84"/>
      <c r="D598" s="84"/>
      <c r="E598" s="210"/>
      <c r="F598" s="84"/>
      <c r="G598" s="84"/>
    </row>
    <row r="600" spans="1:7">
      <c r="A600" s="50"/>
      <c r="B600" s="50"/>
      <c r="C600" s="50"/>
      <c r="D600" s="50"/>
      <c r="E600" s="211"/>
      <c r="F600" s="50"/>
      <c r="G600" s="50"/>
    </row>
    <row r="606" spans="1:7">
      <c r="A606" s="83"/>
      <c r="B606" s="85"/>
      <c r="C606" s="85"/>
      <c r="D606" s="85"/>
      <c r="E606" s="212"/>
      <c r="F606" s="85"/>
      <c r="G606" s="85"/>
    </row>
    <row r="609" spans="1:7">
      <c r="A609" s="50"/>
      <c r="B609" s="50"/>
      <c r="C609" s="50"/>
      <c r="D609" s="50"/>
      <c r="E609" s="211"/>
      <c r="F609" s="50"/>
      <c r="G609" s="50"/>
    </row>
    <row r="610" spans="1:7">
      <c r="A610" s="50"/>
    </row>
    <row r="611" spans="1:7">
      <c r="A611" s="50"/>
      <c r="B611" s="50"/>
      <c r="C611" s="50"/>
      <c r="D611" s="50"/>
      <c r="E611" s="211"/>
      <c r="F611" s="50"/>
      <c r="G611" s="50"/>
    </row>
    <row r="617" spans="1:7">
      <c r="A617" s="50"/>
      <c r="B617" s="84"/>
      <c r="C617" s="84"/>
      <c r="D617" s="84"/>
      <c r="E617" s="210"/>
      <c r="F617" s="84"/>
      <c r="G617" s="84"/>
    </row>
    <row r="619" spans="1:7">
      <c r="A619" s="50"/>
      <c r="B619" s="50"/>
      <c r="C619" s="50"/>
      <c r="D619" s="50"/>
      <c r="E619" s="211"/>
      <c r="F619" s="50"/>
      <c r="G619" s="50"/>
    </row>
    <row r="624" spans="1:7">
      <c r="A624" s="83"/>
      <c r="B624" s="84"/>
      <c r="C624" s="84"/>
      <c r="D624" s="84"/>
      <c r="E624" s="210"/>
      <c r="F624" s="84"/>
      <c r="G624" s="84"/>
    </row>
    <row r="626" spans="1:7">
      <c r="A626" s="50"/>
      <c r="B626" s="50"/>
      <c r="C626" s="50"/>
      <c r="D626" s="50"/>
      <c r="E626" s="211"/>
      <c r="F626" s="50"/>
      <c r="G626" s="50"/>
    </row>
    <row r="631" spans="1:7">
      <c r="A631" s="83"/>
      <c r="B631" s="84"/>
      <c r="C631" s="84"/>
      <c r="D631" s="84"/>
      <c r="E631" s="210"/>
      <c r="F631" s="84"/>
      <c r="G631" s="84"/>
    </row>
    <row r="633" spans="1:7">
      <c r="A633" s="50"/>
      <c r="B633" s="50"/>
      <c r="C633" s="50"/>
      <c r="D633" s="50"/>
      <c r="E633" s="211"/>
      <c r="F633" s="50"/>
      <c r="G633" s="50"/>
    </row>
    <row r="638" spans="1:7">
      <c r="A638" s="83"/>
      <c r="B638" s="84"/>
      <c r="C638" s="84"/>
      <c r="D638" s="84"/>
      <c r="E638" s="210"/>
      <c r="F638" s="84"/>
      <c r="G638" s="84"/>
    </row>
    <row r="640" spans="1:7">
      <c r="A640" s="50"/>
      <c r="B640" s="50"/>
      <c r="C640" s="50"/>
      <c r="D640" s="50"/>
      <c r="E640" s="211"/>
      <c r="F640" s="50"/>
      <c r="G640" s="50"/>
    </row>
    <row r="646" spans="1:7">
      <c r="A646" s="83"/>
      <c r="B646" s="85"/>
      <c r="C646" s="85"/>
      <c r="D646" s="85"/>
      <c r="E646" s="212"/>
      <c r="F646" s="85"/>
      <c r="G646" s="85"/>
    </row>
    <row r="649" spans="1:7">
      <c r="A649" s="50"/>
      <c r="B649" s="50"/>
      <c r="C649" s="50"/>
      <c r="D649" s="50"/>
      <c r="E649" s="211"/>
      <c r="F649" s="50"/>
      <c r="G649" s="50"/>
    </row>
    <row r="650" spans="1:7">
      <c r="A650" s="50"/>
    </row>
    <row r="651" spans="1:7">
      <c r="A651" s="50"/>
      <c r="B651" s="50"/>
      <c r="C651" s="50"/>
      <c r="D651" s="50"/>
      <c r="E651" s="211"/>
      <c r="F651" s="50"/>
      <c r="G651" s="50"/>
    </row>
    <row r="657" spans="1:7">
      <c r="A657" s="50"/>
      <c r="B657" s="84"/>
      <c r="C657" s="84"/>
      <c r="D657" s="84"/>
      <c r="E657" s="210"/>
      <c r="F657" s="84"/>
      <c r="G657" s="84"/>
    </row>
    <row r="659" spans="1:7">
      <c r="A659" s="50"/>
      <c r="B659" s="50"/>
      <c r="C659" s="50"/>
      <c r="D659" s="50"/>
      <c r="E659" s="211"/>
      <c r="F659" s="50"/>
      <c r="G659" s="50"/>
    </row>
    <row r="664" spans="1:7">
      <c r="A664" s="83"/>
      <c r="B664" s="84"/>
      <c r="C664" s="84"/>
      <c r="D664" s="84"/>
      <c r="E664" s="210"/>
      <c r="F664" s="84"/>
      <c r="G664" s="84"/>
    </row>
    <row r="666" spans="1:7">
      <c r="A666" s="50"/>
      <c r="B666" s="50"/>
      <c r="C666" s="50"/>
      <c r="D666" s="50"/>
      <c r="E666" s="211"/>
      <c r="F666" s="50"/>
      <c r="G666" s="50"/>
    </row>
    <row r="671" spans="1:7">
      <c r="A671" s="83"/>
      <c r="B671" s="84"/>
      <c r="C671" s="84"/>
      <c r="D671" s="84"/>
      <c r="E671" s="210"/>
      <c r="F671" s="84"/>
      <c r="G671" s="84"/>
    </row>
    <row r="673" spans="1:7">
      <c r="A673" s="50"/>
      <c r="B673" s="50"/>
      <c r="C673" s="50"/>
      <c r="D673" s="50"/>
      <c r="E673" s="211"/>
      <c r="F673" s="50"/>
      <c r="G673" s="50"/>
    </row>
    <row r="678" spans="1:7">
      <c r="A678" s="83"/>
      <c r="B678" s="84"/>
      <c r="C678" s="84"/>
      <c r="D678" s="84"/>
      <c r="E678" s="210"/>
      <c r="F678" s="84"/>
      <c r="G678" s="84"/>
    </row>
    <row r="680" spans="1:7">
      <c r="A680" s="50"/>
      <c r="B680" s="50"/>
      <c r="C680" s="50"/>
      <c r="D680" s="50"/>
      <c r="E680" s="211"/>
      <c r="F680" s="50"/>
      <c r="G680" s="50"/>
    </row>
    <row r="686" spans="1:7">
      <c r="A686" s="83"/>
      <c r="B686" s="85"/>
      <c r="C686" s="85"/>
      <c r="D686" s="85"/>
      <c r="E686" s="212"/>
      <c r="F686" s="85"/>
      <c r="G686" s="85"/>
    </row>
    <row r="689" spans="1:7">
      <c r="A689" s="50"/>
      <c r="B689" s="50"/>
      <c r="C689" s="50"/>
      <c r="D689" s="50"/>
      <c r="E689" s="211"/>
      <c r="F689" s="50"/>
      <c r="G689" s="50"/>
    </row>
    <row r="690" spans="1:7">
      <c r="A690" s="50"/>
    </row>
    <row r="691" spans="1:7">
      <c r="A691" s="50"/>
      <c r="B691" s="50"/>
      <c r="C691" s="50"/>
      <c r="D691" s="50"/>
      <c r="E691" s="211"/>
      <c r="F691" s="50"/>
      <c r="G691" s="50"/>
    </row>
    <row r="697" spans="1:7">
      <c r="A697" s="50"/>
      <c r="B697" s="84"/>
      <c r="C697" s="84"/>
      <c r="D697" s="84"/>
      <c r="E697" s="210"/>
      <c r="F697" s="84"/>
      <c r="G697" s="84"/>
    </row>
    <row r="699" spans="1:7">
      <c r="A699" s="50"/>
      <c r="B699" s="50"/>
      <c r="C699" s="50"/>
      <c r="D699" s="50"/>
      <c r="E699" s="211"/>
      <c r="F699" s="50"/>
      <c r="G699" s="50"/>
    </row>
    <row r="704" spans="1:7">
      <c r="A704" s="83"/>
      <c r="B704" s="84"/>
      <c r="C704" s="84"/>
      <c r="D704" s="84"/>
      <c r="E704" s="210"/>
      <c r="F704" s="84"/>
      <c r="G704" s="84"/>
    </row>
    <row r="706" spans="1:7">
      <c r="A706" s="50"/>
      <c r="B706" s="50"/>
      <c r="C706" s="50"/>
      <c r="D706" s="50"/>
      <c r="E706" s="211"/>
      <c r="F706" s="50"/>
      <c r="G706" s="50"/>
    </row>
    <row r="711" spans="1:7">
      <c r="A711" s="83"/>
      <c r="B711" s="84"/>
      <c r="C711" s="84"/>
      <c r="D711" s="84"/>
      <c r="E711" s="210"/>
      <c r="F711" s="84"/>
      <c r="G711" s="84"/>
    </row>
    <row r="713" spans="1:7">
      <c r="A713" s="50"/>
      <c r="B713" s="50"/>
      <c r="C713" s="50"/>
      <c r="D713" s="50"/>
      <c r="E713" s="211"/>
      <c r="F713" s="50"/>
      <c r="G713" s="50"/>
    </row>
    <row r="718" spans="1:7">
      <c r="A718" s="83"/>
      <c r="B718" s="84"/>
      <c r="C718" s="84"/>
      <c r="D718" s="84"/>
      <c r="E718" s="210"/>
      <c r="F718" s="84"/>
      <c r="G718" s="84"/>
    </row>
    <row r="720" spans="1:7">
      <c r="A720" s="50"/>
      <c r="B720" s="50"/>
      <c r="C720" s="50"/>
      <c r="D720" s="50"/>
      <c r="E720" s="211"/>
      <c r="F720" s="50"/>
      <c r="G720" s="50"/>
    </row>
    <row r="726" spans="1:7">
      <c r="A726" s="83"/>
      <c r="B726" s="85"/>
      <c r="C726" s="85"/>
      <c r="D726" s="85"/>
      <c r="E726" s="212"/>
      <c r="F726" s="85"/>
      <c r="G726" s="85"/>
    </row>
    <row r="729" spans="1:7">
      <c r="A729" s="50"/>
      <c r="B729" s="50"/>
      <c r="C729" s="50"/>
      <c r="D729" s="50"/>
      <c r="E729" s="211"/>
      <c r="F729" s="50"/>
      <c r="G729" s="50"/>
    </row>
    <row r="730" spans="1:7">
      <c r="A730" s="50"/>
    </row>
    <row r="731" spans="1:7">
      <c r="A731" s="50"/>
      <c r="B731" s="50"/>
      <c r="C731" s="50"/>
      <c r="D731" s="50"/>
      <c r="E731" s="211"/>
      <c r="F731" s="50"/>
      <c r="G731" s="50"/>
    </row>
    <row r="737" spans="1:7">
      <c r="A737" s="50"/>
      <c r="B737" s="84"/>
      <c r="C737" s="84"/>
      <c r="D737" s="84"/>
      <c r="E737" s="210"/>
      <c r="F737" s="84"/>
      <c r="G737" s="84"/>
    </row>
    <row r="739" spans="1:7">
      <c r="A739" s="50"/>
      <c r="B739" s="50"/>
      <c r="C739" s="50"/>
      <c r="D739" s="50"/>
      <c r="E739" s="211"/>
      <c r="F739" s="50"/>
      <c r="G739" s="50"/>
    </row>
    <row r="744" spans="1:7">
      <c r="A744" s="83"/>
      <c r="B744" s="84"/>
      <c r="C744" s="84"/>
      <c r="D744" s="84"/>
      <c r="E744" s="210"/>
      <c r="F744" s="84"/>
      <c r="G744" s="84"/>
    </row>
    <row r="746" spans="1:7">
      <c r="A746" s="50"/>
      <c r="B746" s="50"/>
      <c r="C746" s="50"/>
      <c r="D746" s="50"/>
      <c r="E746" s="211"/>
      <c r="F746" s="50"/>
      <c r="G746" s="50"/>
    </row>
    <row r="751" spans="1:7">
      <c r="A751" s="83"/>
      <c r="B751" s="84"/>
      <c r="C751" s="84"/>
      <c r="D751" s="84"/>
      <c r="E751" s="210"/>
      <c r="F751" s="84"/>
      <c r="G751" s="84"/>
    </row>
    <row r="753" spans="1:7">
      <c r="A753" s="50"/>
      <c r="B753" s="50"/>
      <c r="C753" s="50"/>
      <c r="D753" s="50"/>
      <c r="E753" s="211"/>
      <c r="F753" s="50"/>
      <c r="G753" s="50"/>
    </row>
    <row r="758" spans="1:7">
      <c r="A758" s="83"/>
      <c r="B758" s="84"/>
      <c r="C758" s="84"/>
      <c r="D758" s="84"/>
      <c r="E758" s="210"/>
      <c r="F758" s="84"/>
      <c r="G758" s="84"/>
    </row>
    <row r="760" spans="1:7">
      <c r="A760" s="50"/>
      <c r="B760" s="50"/>
      <c r="C760" s="50"/>
      <c r="D760" s="50"/>
      <c r="E760" s="211"/>
      <c r="F760" s="50"/>
      <c r="G760" s="50"/>
    </row>
    <row r="766" spans="1:7">
      <c r="A766" s="83"/>
      <c r="B766" s="85"/>
      <c r="C766" s="85"/>
      <c r="D766" s="85"/>
      <c r="E766" s="212"/>
      <c r="F766" s="85"/>
      <c r="G766" s="85"/>
    </row>
    <row r="769" spans="1:7">
      <c r="A769" s="50"/>
      <c r="B769" s="50"/>
      <c r="C769" s="50"/>
      <c r="D769" s="50"/>
      <c r="E769" s="211"/>
      <c r="F769" s="50"/>
      <c r="G769" s="50"/>
    </row>
    <row r="770" spans="1:7">
      <c r="A770" s="50"/>
    </row>
    <row r="771" spans="1:7">
      <c r="A771" s="50"/>
      <c r="B771" s="50"/>
      <c r="C771" s="50"/>
      <c r="D771" s="50"/>
      <c r="E771" s="211"/>
      <c r="F771" s="50"/>
      <c r="G771" s="50"/>
    </row>
    <row r="777" spans="1:7">
      <c r="A777" s="50"/>
      <c r="B777" s="84"/>
      <c r="C777" s="84"/>
      <c r="D777" s="84"/>
      <c r="E777" s="210"/>
      <c r="F777" s="84"/>
      <c r="G777" s="84"/>
    </row>
    <row r="779" spans="1:7">
      <c r="A779" s="50"/>
      <c r="B779" s="50"/>
      <c r="C779" s="50"/>
      <c r="D779" s="50"/>
      <c r="E779" s="211"/>
      <c r="F779" s="50"/>
      <c r="G779" s="50"/>
    </row>
    <row r="784" spans="1:7">
      <c r="A784" s="83"/>
      <c r="B784" s="84"/>
      <c r="C784" s="84"/>
      <c r="D784" s="84"/>
      <c r="E784" s="210"/>
      <c r="F784" s="84"/>
      <c r="G784" s="84"/>
    </row>
    <row r="786" spans="1:7">
      <c r="A786" s="50"/>
      <c r="B786" s="50"/>
      <c r="C786" s="50"/>
      <c r="D786" s="50"/>
      <c r="E786" s="211"/>
      <c r="F786" s="50"/>
      <c r="G786" s="50"/>
    </row>
    <row r="791" spans="1:7">
      <c r="A791" s="83"/>
      <c r="B791" s="84"/>
      <c r="C791" s="84"/>
      <c r="D791" s="84"/>
      <c r="E791" s="210"/>
      <c r="F791" s="84"/>
      <c r="G791" s="84"/>
    </row>
    <row r="793" spans="1:7">
      <c r="A793" s="50"/>
      <c r="B793" s="50"/>
      <c r="C793" s="50"/>
      <c r="D793" s="50"/>
      <c r="E793" s="211"/>
      <c r="F793" s="50"/>
      <c r="G793" s="50"/>
    </row>
    <row r="798" spans="1:7">
      <c r="A798" s="83"/>
      <c r="B798" s="84"/>
      <c r="C798" s="84"/>
      <c r="D798" s="84"/>
      <c r="E798" s="210"/>
      <c r="F798" s="84"/>
      <c r="G798" s="84"/>
    </row>
    <row r="800" spans="1:7">
      <c r="A800" s="50"/>
      <c r="B800" s="50"/>
      <c r="C800" s="50"/>
      <c r="D800" s="50"/>
      <c r="E800" s="211"/>
      <c r="F800" s="50"/>
      <c r="G800" s="50"/>
    </row>
    <row r="806" spans="1:7">
      <c r="A806" s="83"/>
      <c r="B806" s="85"/>
      <c r="C806" s="85"/>
      <c r="D806" s="85"/>
      <c r="E806" s="212"/>
      <c r="F806" s="85"/>
      <c r="G806" s="85"/>
    </row>
    <row r="809" spans="1:7">
      <c r="A809" s="50"/>
      <c r="B809" s="50"/>
      <c r="C809" s="50"/>
      <c r="D809" s="50"/>
      <c r="E809" s="211"/>
      <c r="F809" s="50"/>
      <c r="G809" s="50"/>
    </row>
    <row r="810" spans="1:7">
      <c r="A810" s="50"/>
    </row>
    <row r="811" spans="1:7">
      <c r="A811" s="50"/>
      <c r="B811" s="50"/>
      <c r="C811" s="50"/>
      <c r="D811" s="50"/>
      <c r="E811" s="211"/>
      <c r="F811" s="50"/>
      <c r="G811" s="50"/>
    </row>
    <row r="817" spans="1:7">
      <c r="A817" s="50"/>
      <c r="B817" s="84"/>
      <c r="C817" s="84"/>
      <c r="D817" s="84"/>
      <c r="E817" s="210"/>
      <c r="F817" s="84"/>
      <c r="G817" s="84"/>
    </row>
    <row r="819" spans="1:7">
      <c r="A819" s="50"/>
      <c r="B819" s="50"/>
      <c r="C819" s="50"/>
      <c r="D819" s="50"/>
      <c r="E819" s="211"/>
      <c r="F819" s="50"/>
      <c r="G819" s="50"/>
    </row>
    <row r="824" spans="1:7">
      <c r="A824" s="83"/>
      <c r="B824" s="84"/>
      <c r="C824" s="84"/>
      <c r="D824" s="84"/>
      <c r="E824" s="210"/>
      <c r="F824" s="84"/>
      <c r="G824" s="84"/>
    </row>
    <row r="826" spans="1:7">
      <c r="A826" s="50"/>
      <c r="B826" s="50"/>
      <c r="C826" s="50"/>
      <c r="D826" s="50"/>
      <c r="E826" s="211"/>
      <c r="F826" s="50"/>
      <c r="G826" s="50"/>
    </row>
    <row r="831" spans="1:7">
      <c r="A831" s="83"/>
      <c r="B831" s="84"/>
      <c r="C831" s="84"/>
      <c r="D831" s="84"/>
      <c r="E831" s="210"/>
      <c r="F831" s="84"/>
      <c r="G831" s="84"/>
    </row>
    <row r="833" spans="1:7">
      <c r="A833" s="50"/>
      <c r="B833" s="50"/>
      <c r="C833" s="50"/>
      <c r="D833" s="50"/>
      <c r="E833" s="211"/>
      <c r="F833" s="50"/>
      <c r="G833" s="50"/>
    </row>
    <row r="838" spans="1:7">
      <c r="A838" s="83"/>
      <c r="B838" s="84"/>
      <c r="C838" s="84"/>
      <c r="D838" s="84"/>
      <c r="E838" s="210"/>
      <c r="F838" s="84"/>
      <c r="G838" s="84"/>
    </row>
    <row r="840" spans="1:7">
      <c r="A840" s="50"/>
      <c r="B840" s="50"/>
      <c r="C840" s="50"/>
      <c r="D840" s="50"/>
      <c r="E840" s="211"/>
      <c r="F840" s="50"/>
      <c r="G840" s="50"/>
    </row>
    <row r="846" spans="1:7">
      <c r="A846" s="83"/>
      <c r="B846" s="85"/>
      <c r="C846" s="85"/>
      <c r="D846" s="85"/>
      <c r="E846" s="212"/>
      <c r="F846" s="85"/>
      <c r="G846" s="85"/>
    </row>
    <row r="849" spans="1:7">
      <c r="A849" s="50"/>
      <c r="B849" s="50"/>
      <c r="C849" s="50"/>
      <c r="D849" s="50"/>
      <c r="E849" s="211"/>
      <c r="F849" s="50"/>
      <c r="G849" s="50"/>
    </row>
    <row r="850" spans="1:7">
      <c r="A850" s="50"/>
    </row>
    <row r="851" spans="1:7">
      <c r="A851" s="50"/>
      <c r="B851" s="50"/>
      <c r="C851" s="50"/>
      <c r="D851" s="50"/>
      <c r="E851" s="211"/>
      <c r="F851" s="50"/>
      <c r="G851" s="50"/>
    </row>
    <row r="857" spans="1:7">
      <c r="A857" s="50"/>
      <c r="B857" s="84"/>
      <c r="C857" s="84"/>
      <c r="D857" s="84"/>
      <c r="E857" s="210"/>
      <c r="F857" s="84"/>
      <c r="G857" s="84"/>
    </row>
    <row r="859" spans="1:7">
      <c r="A859" s="50"/>
      <c r="B859" s="50"/>
      <c r="C859" s="50"/>
      <c r="D859" s="50"/>
      <c r="E859" s="211"/>
      <c r="F859" s="50"/>
      <c r="G859" s="50"/>
    </row>
    <row r="864" spans="1:7">
      <c r="A864" s="83"/>
      <c r="B864" s="84"/>
      <c r="C864" s="84"/>
      <c r="D864" s="84"/>
      <c r="E864" s="210"/>
      <c r="F864" s="84"/>
      <c r="G864" s="84"/>
    </row>
    <row r="866" spans="1:7">
      <c r="A866" s="50"/>
      <c r="B866" s="50"/>
      <c r="C866" s="50"/>
      <c r="D866" s="50"/>
      <c r="E866" s="211"/>
      <c r="F866" s="50"/>
      <c r="G866" s="50"/>
    </row>
    <row r="871" spans="1:7">
      <c r="A871" s="83"/>
      <c r="B871" s="84"/>
      <c r="C871" s="84"/>
      <c r="D871" s="84"/>
      <c r="E871" s="210"/>
      <c r="F871" s="84"/>
      <c r="G871" s="84"/>
    </row>
    <row r="873" spans="1:7">
      <c r="A873" s="50"/>
      <c r="B873" s="50"/>
      <c r="C873" s="50"/>
      <c r="D873" s="50"/>
      <c r="E873" s="211"/>
      <c r="F873" s="50"/>
      <c r="G873" s="50"/>
    </row>
    <row r="878" spans="1:7">
      <c r="A878" s="83"/>
      <c r="B878" s="84"/>
      <c r="C878" s="84"/>
      <c r="D878" s="84"/>
      <c r="E878" s="210"/>
      <c r="F878" s="84"/>
      <c r="G878" s="84"/>
    </row>
    <row r="880" spans="1:7">
      <c r="A880" s="50"/>
      <c r="B880" s="50"/>
      <c r="C880" s="50"/>
      <c r="D880" s="50"/>
      <c r="E880" s="211"/>
      <c r="F880" s="50"/>
      <c r="G880" s="50"/>
    </row>
    <row r="886" spans="1:7">
      <c r="A886" s="83"/>
      <c r="B886" s="85"/>
      <c r="C886" s="85"/>
      <c r="D886" s="85"/>
      <c r="E886" s="212"/>
      <c r="F886" s="85"/>
      <c r="G886" s="85"/>
    </row>
    <row r="889" spans="1:7">
      <c r="A889" s="50"/>
      <c r="B889" s="50"/>
      <c r="C889" s="50"/>
      <c r="D889" s="50"/>
      <c r="E889" s="211"/>
      <c r="F889" s="50"/>
      <c r="G889" s="50"/>
    </row>
    <row r="890" spans="1:7">
      <c r="A890" s="50"/>
    </row>
    <row r="891" spans="1:7">
      <c r="A891" s="50"/>
      <c r="B891" s="50"/>
      <c r="C891" s="50"/>
      <c r="D891" s="50"/>
      <c r="E891" s="211"/>
      <c r="F891" s="50"/>
      <c r="G891" s="50"/>
    </row>
    <row r="897" spans="1:7">
      <c r="A897" s="50"/>
      <c r="B897" s="84"/>
      <c r="C897" s="84"/>
      <c r="D897" s="84"/>
      <c r="E897" s="210"/>
      <c r="F897" s="84"/>
      <c r="G897" s="84"/>
    </row>
    <row r="899" spans="1:7">
      <c r="A899" s="50"/>
      <c r="B899" s="50"/>
      <c r="C899" s="50"/>
      <c r="D899" s="50"/>
      <c r="E899" s="211"/>
      <c r="F899" s="50"/>
      <c r="G899" s="50"/>
    </row>
    <row r="904" spans="1:7">
      <c r="A904" s="83"/>
      <c r="B904" s="84"/>
      <c r="C904" s="84"/>
      <c r="D904" s="84"/>
      <c r="E904" s="210"/>
      <c r="F904" s="84"/>
      <c r="G904" s="84"/>
    </row>
    <row r="906" spans="1:7">
      <c r="A906" s="50"/>
      <c r="B906" s="50"/>
      <c r="C906" s="50"/>
      <c r="D906" s="50"/>
      <c r="E906" s="211"/>
      <c r="F906" s="50"/>
      <c r="G906" s="50"/>
    </row>
    <row r="911" spans="1:7">
      <c r="A911" s="83"/>
      <c r="B911" s="84"/>
      <c r="C911" s="84"/>
      <c r="D911" s="84"/>
      <c r="E911" s="210"/>
      <c r="F911" s="84"/>
      <c r="G911" s="84"/>
    </row>
    <row r="913" spans="1:7">
      <c r="A913" s="50"/>
      <c r="B913" s="50"/>
      <c r="C913" s="50"/>
      <c r="D913" s="50"/>
      <c r="E913" s="211"/>
      <c r="F913" s="50"/>
      <c r="G913" s="50"/>
    </row>
    <row r="918" spans="1:7">
      <c r="A918" s="83"/>
      <c r="B918" s="84"/>
      <c r="C918" s="84"/>
      <c r="D918" s="84"/>
      <c r="E918" s="210"/>
      <c r="F918" s="84"/>
      <c r="G918" s="84"/>
    </row>
    <row r="920" spans="1:7">
      <c r="A920" s="50"/>
      <c r="B920" s="50"/>
      <c r="C920" s="50"/>
      <c r="D920" s="50"/>
      <c r="E920" s="211"/>
      <c r="F920" s="50"/>
      <c r="G920" s="50"/>
    </row>
    <row r="926" spans="1:7">
      <c r="A926" s="83"/>
      <c r="B926" s="85"/>
      <c r="C926" s="85"/>
      <c r="D926" s="85"/>
      <c r="E926" s="212"/>
      <c r="F926" s="85"/>
      <c r="G926" s="85"/>
    </row>
    <row r="929" spans="1:7">
      <c r="A929" s="50"/>
      <c r="B929" s="50"/>
      <c r="C929" s="50"/>
      <c r="D929" s="50"/>
      <c r="E929" s="211"/>
      <c r="F929" s="50"/>
      <c r="G929" s="50"/>
    </row>
    <row r="930" spans="1:7">
      <c r="A930" s="50"/>
    </row>
    <row r="931" spans="1:7">
      <c r="A931" s="50"/>
      <c r="B931" s="50"/>
      <c r="C931" s="50"/>
      <c r="D931" s="50"/>
      <c r="E931" s="211"/>
      <c r="F931" s="50"/>
      <c r="G931" s="50"/>
    </row>
    <row r="937" spans="1:7">
      <c r="A937" s="50"/>
      <c r="B937" s="84"/>
      <c r="C937" s="84"/>
      <c r="D937" s="84"/>
      <c r="E937" s="210"/>
      <c r="F937" s="84"/>
      <c r="G937" s="84"/>
    </row>
    <row r="939" spans="1:7">
      <c r="A939" s="50"/>
      <c r="B939" s="50"/>
      <c r="C939" s="50"/>
      <c r="D939" s="50"/>
      <c r="E939" s="211"/>
      <c r="F939" s="50"/>
      <c r="G939" s="50"/>
    </row>
    <row r="944" spans="1:7">
      <c r="A944" s="83"/>
      <c r="B944" s="84"/>
      <c r="C944" s="84"/>
      <c r="D944" s="84"/>
      <c r="E944" s="210"/>
      <c r="F944" s="84"/>
      <c r="G944" s="84"/>
    </row>
    <row r="946" spans="1:7">
      <c r="A946" s="50"/>
      <c r="B946" s="50"/>
      <c r="C946" s="50"/>
      <c r="D946" s="50"/>
      <c r="E946" s="211"/>
      <c r="F946" s="50"/>
      <c r="G946" s="50"/>
    </row>
    <row r="951" spans="1:7">
      <c r="A951" s="83"/>
      <c r="B951" s="84"/>
      <c r="C951" s="84"/>
      <c r="D951" s="84"/>
      <c r="E951" s="210"/>
      <c r="F951" s="84"/>
      <c r="G951" s="84"/>
    </row>
    <row r="953" spans="1:7">
      <c r="A953" s="50"/>
      <c r="B953" s="50"/>
      <c r="C953" s="50"/>
      <c r="D953" s="50"/>
      <c r="E953" s="211"/>
      <c r="F953" s="50"/>
      <c r="G953" s="50"/>
    </row>
    <row r="958" spans="1:7">
      <c r="A958" s="83"/>
      <c r="B958" s="84"/>
      <c r="C958" s="84"/>
      <c r="D958" s="84"/>
      <c r="E958" s="210"/>
      <c r="F958" s="84"/>
      <c r="G958" s="84"/>
    </row>
    <row r="960" spans="1:7">
      <c r="A960" s="50"/>
      <c r="B960" s="50"/>
      <c r="C960" s="50"/>
      <c r="D960" s="50"/>
      <c r="E960" s="211"/>
      <c r="F960" s="50"/>
      <c r="G960" s="50"/>
    </row>
    <row r="966" spans="1:7">
      <c r="A966" s="83"/>
      <c r="B966" s="85"/>
      <c r="C966" s="85"/>
      <c r="D966" s="85"/>
      <c r="E966" s="212"/>
      <c r="F966" s="85"/>
      <c r="G966" s="85"/>
    </row>
    <row r="969" spans="1:7">
      <c r="A969" s="50"/>
      <c r="B969" s="50"/>
      <c r="C969" s="50"/>
      <c r="D969" s="50"/>
      <c r="E969" s="211"/>
      <c r="F969" s="50"/>
      <c r="G969" s="50"/>
    </row>
    <row r="970" spans="1:7">
      <c r="A970" s="50"/>
    </row>
    <row r="971" spans="1:7">
      <c r="A971" s="50"/>
      <c r="B971" s="50"/>
      <c r="C971" s="50"/>
      <c r="D971" s="50"/>
      <c r="E971" s="211"/>
      <c r="F971" s="50"/>
      <c r="G971" s="50"/>
    </row>
    <row r="977" spans="1:7">
      <c r="A977" s="50"/>
      <c r="B977" s="84"/>
      <c r="C977" s="84"/>
      <c r="D977" s="84"/>
      <c r="E977" s="210"/>
      <c r="F977" s="84"/>
      <c r="G977" s="84"/>
    </row>
    <row r="979" spans="1:7">
      <c r="A979" s="50"/>
      <c r="B979" s="50"/>
      <c r="C979" s="50"/>
      <c r="D979" s="50"/>
      <c r="E979" s="211"/>
      <c r="F979" s="50"/>
      <c r="G979" s="50"/>
    </row>
    <row r="984" spans="1:7">
      <c r="A984" s="83"/>
      <c r="B984" s="84"/>
      <c r="C984" s="84"/>
      <c r="D984" s="84"/>
      <c r="E984" s="210"/>
      <c r="F984" s="84"/>
      <c r="G984" s="84"/>
    </row>
    <row r="986" spans="1:7">
      <c r="A986" s="50"/>
      <c r="B986" s="50"/>
      <c r="C986" s="50"/>
      <c r="D986" s="50"/>
      <c r="E986" s="211"/>
      <c r="F986" s="50"/>
      <c r="G986" s="50"/>
    </row>
    <row r="991" spans="1:7">
      <c r="A991" s="83"/>
      <c r="B991" s="84"/>
      <c r="C991" s="84"/>
      <c r="D991" s="84"/>
      <c r="E991" s="210"/>
      <c r="F991" s="84"/>
      <c r="G991" s="84"/>
    </row>
    <row r="993" spans="1:7">
      <c r="A993" s="50"/>
      <c r="B993" s="50"/>
      <c r="C993" s="50"/>
      <c r="D993" s="50"/>
      <c r="E993" s="211"/>
      <c r="F993" s="50"/>
      <c r="G993" s="50"/>
    </row>
    <row r="998" spans="1:7">
      <c r="A998" s="83"/>
      <c r="B998" s="84"/>
      <c r="C998" s="84"/>
      <c r="D998" s="84"/>
      <c r="E998" s="210"/>
      <c r="F998" s="84"/>
      <c r="G998" s="84"/>
    </row>
    <row r="1000" spans="1:7">
      <c r="A1000" s="50"/>
      <c r="B1000" s="50"/>
      <c r="C1000" s="50"/>
      <c r="D1000" s="50"/>
      <c r="E1000" s="211"/>
      <c r="F1000" s="50"/>
      <c r="G1000" s="50"/>
    </row>
    <row r="1006" spans="1:7">
      <c r="A1006" s="83"/>
      <c r="B1006" s="85"/>
      <c r="C1006" s="85"/>
      <c r="D1006" s="85"/>
      <c r="E1006" s="212"/>
      <c r="F1006" s="85"/>
      <c r="G1006" s="85"/>
    </row>
    <row r="1009" spans="1:7">
      <c r="A1009" s="50"/>
      <c r="B1009" s="50"/>
      <c r="C1009" s="50"/>
      <c r="D1009" s="50"/>
      <c r="E1009" s="211"/>
      <c r="F1009" s="50"/>
      <c r="G1009" s="50"/>
    </row>
    <row r="1010" spans="1:7">
      <c r="A1010" s="50"/>
    </row>
    <row r="1011" spans="1:7">
      <c r="A1011" s="50"/>
      <c r="B1011" s="50"/>
      <c r="C1011" s="50"/>
      <c r="D1011" s="50"/>
      <c r="E1011" s="211"/>
      <c r="F1011" s="50"/>
      <c r="G1011" s="50"/>
    </row>
    <row r="1017" spans="1:7">
      <c r="A1017" s="50"/>
      <c r="B1017" s="84"/>
      <c r="C1017" s="84"/>
      <c r="D1017" s="84"/>
      <c r="E1017" s="210"/>
      <c r="F1017" s="84"/>
      <c r="G1017" s="84"/>
    </row>
    <row r="1019" spans="1:7">
      <c r="A1019" s="50"/>
      <c r="B1019" s="50"/>
      <c r="C1019" s="50"/>
      <c r="D1019" s="50"/>
      <c r="E1019" s="211"/>
      <c r="F1019" s="50"/>
      <c r="G1019" s="50"/>
    </row>
    <row r="1024" spans="1:7">
      <c r="A1024" s="83"/>
      <c r="B1024" s="84"/>
      <c r="C1024" s="84"/>
      <c r="D1024" s="84"/>
      <c r="E1024" s="210"/>
      <c r="F1024" s="84"/>
      <c r="G1024" s="84"/>
    </row>
    <row r="1026" spans="1:7">
      <c r="A1026" s="50"/>
      <c r="B1026" s="50"/>
      <c r="C1026" s="50"/>
      <c r="D1026" s="50"/>
      <c r="E1026" s="211"/>
      <c r="F1026" s="50"/>
      <c r="G1026" s="50"/>
    </row>
    <row r="1031" spans="1:7">
      <c r="A1031" s="83"/>
      <c r="B1031" s="84"/>
      <c r="C1031" s="84"/>
      <c r="D1031" s="84"/>
      <c r="E1031" s="210"/>
      <c r="F1031" s="84"/>
      <c r="G1031" s="84"/>
    </row>
    <row r="1033" spans="1:7">
      <c r="A1033" s="50"/>
      <c r="B1033" s="50"/>
      <c r="C1033" s="50"/>
      <c r="D1033" s="50"/>
      <c r="E1033" s="211"/>
      <c r="F1033" s="50"/>
      <c r="G1033" s="50"/>
    </row>
    <row r="1038" spans="1:7">
      <c r="A1038" s="83"/>
      <c r="B1038" s="84"/>
      <c r="C1038" s="84"/>
      <c r="D1038" s="84"/>
      <c r="E1038" s="210"/>
      <c r="F1038" s="84"/>
      <c r="G1038" s="84"/>
    </row>
    <row r="1040" spans="1:7">
      <c r="A1040" s="50"/>
      <c r="B1040" s="50"/>
      <c r="C1040" s="50"/>
      <c r="D1040" s="50"/>
      <c r="E1040" s="211"/>
      <c r="F1040" s="50"/>
      <c r="G1040" s="50"/>
    </row>
    <row r="1046" spans="1:7">
      <c r="A1046" s="83"/>
      <c r="B1046" s="85"/>
      <c r="C1046" s="85"/>
      <c r="D1046" s="85"/>
      <c r="E1046" s="212"/>
      <c r="F1046" s="85"/>
      <c r="G1046" s="85"/>
    </row>
    <row r="1049" spans="1:7">
      <c r="A1049" s="50"/>
      <c r="B1049" s="50"/>
      <c r="C1049" s="50"/>
      <c r="D1049" s="50"/>
      <c r="E1049" s="211"/>
      <c r="F1049" s="50"/>
      <c r="G1049" s="50"/>
    </row>
    <row r="1050" spans="1:7">
      <c r="A1050" s="50"/>
    </row>
    <row r="1051" spans="1:7">
      <c r="A1051" s="50"/>
      <c r="B1051" s="50"/>
      <c r="C1051" s="50"/>
      <c r="D1051" s="50"/>
      <c r="E1051" s="211"/>
      <c r="F1051" s="50"/>
      <c r="G1051" s="50"/>
    </row>
    <row r="1057" spans="1:7">
      <c r="A1057" s="50"/>
      <c r="B1057" s="84"/>
      <c r="C1057" s="84"/>
      <c r="D1057" s="84"/>
      <c r="E1057" s="210"/>
      <c r="F1057" s="84"/>
      <c r="G1057" s="84"/>
    </row>
    <row r="1059" spans="1:7">
      <c r="A1059" s="50"/>
      <c r="B1059" s="50"/>
      <c r="C1059" s="50"/>
      <c r="D1059" s="50"/>
      <c r="E1059" s="211"/>
      <c r="F1059" s="50"/>
      <c r="G1059" s="50"/>
    </row>
    <row r="1064" spans="1:7">
      <c r="A1064" s="83"/>
      <c r="B1064" s="84"/>
      <c r="C1064" s="84"/>
      <c r="D1064" s="84"/>
      <c r="E1064" s="210"/>
      <c r="F1064" s="84"/>
      <c r="G1064" s="84"/>
    </row>
    <row r="1066" spans="1:7">
      <c r="A1066" s="50"/>
      <c r="B1066" s="50"/>
      <c r="C1066" s="50"/>
      <c r="D1066" s="50"/>
      <c r="E1066" s="211"/>
      <c r="F1066" s="50"/>
      <c r="G1066" s="50"/>
    </row>
    <row r="1071" spans="1:7">
      <c r="A1071" s="83"/>
      <c r="B1071" s="84"/>
      <c r="C1071" s="84"/>
      <c r="D1071" s="84"/>
      <c r="E1071" s="210"/>
      <c r="F1071" s="84"/>
      <c r="G1071" s="84"/>
    </row>
    <row r="1073" spans="1:7">
      <c r="A1073" s="50"/>
      <c r="B1073" s="50"/>
      <c r="C1073" s="50"/>
      <c r="D1073" s="50"/>
      <c r="E1073" s="211"/>
      <c r="F1073" s="50"/>
      <c r="G1073" s="50"/>
    </row>
    <row r="1078" spans="1:7">
      <c r="A1078" s="83"/>
      <c r="B1078" s="84"/>
      <c r="C1078" s="84"/>
      <c r="D1078" s="84"/>
      <c r="E1078" s="210"/>
      <c r="F1078" s="84"/>
      <c r="G1078" s="84"/>
    </row>
    <row r="1080" spans="1:7">
      <c r="A1080" s="50"/>
      <c r="B1080" s="50"/>
      <c r="C1080" s="50"/>
      <c r="D1080" s="50"/>
      <c r="E1080" s="211"/>
      <c r="F1080" s="50"/>
      <c r="G1080" s="50"/>
    </row>
    <row r="1086" spans="1:7">
      <c r="A1086" s="83"/>
      <c r="B1086" s="85"/>
      <c r="C1086" s="85"/>
      <c r="D1086" s="85"/>
      <c r="E1086" s="212"/>
      <c r="F1086" s="85"/>
      <c r="G1086" s="85"/>
    </row>
    <row r="1089" spans="1:7">
      <c r="A1089" s="50"/>
      <c r="B1089" s="50"/>
      <c r="C1089" s="50"/>
      <c r="D1089" s="50"/>
      <c r="E1089" s="211"/>
      <c r="F1089" s="50"/>
      <c r="G1089" s="50"/>
    </row>
    <row r="1090" spans="1:7">
      <c r="A1090" s="50"/>
    </row>
    <row r="1091" spans="1:7">
      <c r="A1091" s="50"/>
      <c r="B1091" s="50"/>
      <c r="C1091" s="50"/>
      <c r="D1091" s="50"/>
      <c r="E1091" s="211"/>
      <c r="F1091" s="50"/>
      <c r="G1091" s="50"/>
    </row>
    <row r="1097" spans="1:7">
      <c r="A1097" s="50"/>
      <c r="B1097" s="84"/>
      <c r="C1097" s="84"/>
      <c r="D1097" s="84"/>
      <c r="E1097" s="210"/>
      <c r="F1097" s="84"/>
      <c r="G1097" s="84"/>
    </row>
    <row r="1099" spans="1:7">
      <c r="A1099" s="50"/>
      <c r="B1099" s="50"/>
      <c r="C1099" s="50"/>
      <c r="D1099" s="50"/>
      <c r="E1099" s="211"/>
      <c r="F1099" s="50"/>
      <c r="G1099" s="50"/>
    </row>
    <row r="1104" spans="1:7">
      <c r="A1104" s="83"/>
      <c r="B1104" s="84"/>
      <c r="C1104" s="84"/>
      <c r="D1104" s="84"/>
      <c r="E1104" s="210"/>
      <c r="F1104" s="84"/>
      <c r="G1104" s="84"/>
    </row>
    <row r="1106" spans="1:7">
      <c r="A1106" s="50"/>
      <c r="B1106" s="50"/>
      <c r="C1106" s="50"/>
      <c r="D1106" s="50"/>
      <c r="E1106" s="211"/>
      <c r="F1106" s="50"/>
      <c r="G1106" s="50"/>
    </row>
    <row r="1111" spans="1:7">
      <c r="A1111" s="83"/>
      <c r="B1111" s="84"/>
      <c r="C1111" s="84"/>
      <c r="D1111" s="84"/>
      <c r="E1111" s="210"/>
      <c r="F1111" s="84"/>
      <c r="G1111" s="84"/>
    </row>
    <row r="1113" spans="1:7">
      <c r="A1113" s="50"/>
      <c r="B1113" s="50"/>
      <c r="C1113" s="50"/>
      <c r="D1113" s="50"/>
      <c r="E1113" s="211"/>
      <c r="F1113" s="50"/>
      <c r="G1113" s="50"/>
    </row>
    <row r="1118" spans="1:7">
      <c r="A1118" s="83"/>
      <c r="B1118" s="84"/>
      <c r="C1118" s="84"/>
      <c r="D1118" s="84"/>
      <c r="E1118" s="210"/>
      <c r="F1118" s="84"/>
      <c r="G1118" s="84"/>
    </row>
    <row r="1120" spans="1:7">
      <c r="A1120" s="50"/>
      <c r="B1120" s="50"/>
      <c r="C1120" s="50"/>
      <c r="D1120" s="50"/>
      <c r="E1120" s="211"/>
      <c r="F1120" s="50"/>
      <c r="G1120" s="50"/>
    </row>
    <row r="1126" spans="1:7">
      <c r="A1126" s="83"/>
      <c r="B1126" s="85"/>
      <c r="C1126" s="85"/>
      <c r="D1126" s="85"/>
      <c r="E1126" s="212"/>
      <c r="F1126" s="85"/>
      <c r="G1126" s="85"/>
    </row>
    <row r="1129" spans="1:7">
      <c r="A1129" s="50"/>
      <c r="B1129" s="50"/>
      <c r="C1129" s="50"/>
      <c r="D1129" s="50"/>
      <c r="E1129" s="211"/>
      <c r="F1129" s="50"/>
      <c r="G1129" s="50"/>
    </row>
    <row r="1130" spans="1:7">
      <c r="A1130" s="50"/>
    </row>
    <row r="1131" spans="1:7">
      <c r="A1131" s="50"/>
      <c r="B1131" s="50"/>
      <c r="C1131" s="50"/>
      <c r="D1131" s="50"/>
      <c r="E1131" s="211"/>
      <c r="F1131" s="50"/>
      <c r="G1131" s="50"/>
    </row>
    <row r="1137" spans="1:7">
      <c r="A1137" s="50"/>
      <c r="B1137" s="84"/>
      <c r="C1137" s="84"/>
      <c r="D1137" s="84"/>
      <c r="E1137" s="210"/>
      <c r="F1137" s="84"/>
      <c r="G1137" s="84"/>
    </row>
    <row r="1139" spans="1:7">
      <c r="A1139" s="50"/>
      <c r="B1139" s="50"/>
      <c r="C1139" s="50"/>
      <c r="D1139" s="50"/>
      <c r="E1139" s="211"/>
      <c r="F1139" s="50"/>
      <c r="G1139" s="50"/>
    </row>
    <row r="1144" spans="1:7">
      <c r="A1144" s="83"/>
      <c r="B1144" s="84"/>
      <c r="C1144" s="84"/>
      <c r="D1144" s="84"/>
      <c r="E1144" s="210"/>
      <c r="F1144" s="84"/>
      <c r="G1144" s="84"/>
    </row>
    <row r="1146" spans="1:7">
      <c r="A1146" s="50"/>
      <c r="B1146" s="50"/>
      <c r="C1146" s="50"/>
      <c r="D1146" s="50"/>
      <c r="E1146" s="211"/>
      <c r="F1146" s="50"/>
      <c r="G1146" s="50"/>
    </row>
    <row r="1151" spans="1:7">
      <c r="A1151" s="83"/>
      <c r="B1151" s="84"/>
      <c r="C1151" s="84"/>
      <c r="D1151" s="84"/>
      <c r="E1151" s="210"/>
      <c r="F1151" s="84"/>
      <c r="G1151" s="84"/>
    </row>
    <row r="1153" spans="1:7">
      <c r="A1153" s="50"/>
      <c r="B1153" s="50"/>
      <c r="C1153" s="50"/>
      <c r="D1153" s="50"/>
      <c r="E1153" s="211"/>
      <c r="F1153" s="50"/>
      <c r="G1153" s="50"/>
    </row>
    <row r="1158" spans="1:7">
      <c r="A1158" s="83"/>
      <c r="B1158" s="84"/>
      <c r="C1158" s="84"/>
      <c r="D1158" s="84"/>
      <c r="E1158" s="210"/>
      <c r="F1158" s="84"/>
      <c r="G1158" s="84"/>
    </row>
    <row r="1160" spans="1:7">
      <c r="A1160" s="50"/>
      <c r="B1160" s="50"/>
      <c r="C1160" s="50"/>
      <c r="D1160" s="50"/>
      <c r="E1160" s="211"/>
      <c r="F1160" s="50"/>
      <c r="G1160" s="50"/>
    </row>
    <row r="1166" spans="1:7">
      <c r="A1166" s="83"/>
      <c r="B1166" s="85"/>
      <c r="C1166" s="85"/>
      <c r="D1166" s="85"/>
      <c r="E1166" s="212"/>
      <c r="F1166" s="85"/>
      <c r="G1166" s="85"/>
    </row>
    <row r="1169" spans="1:7">
      <c r="A1169" s="50"/>
      <c r="B1169" s="50"/>
      <c r="C1169" s="50"/>
      <c r="D1169" s="50"/>
      <c r="E1169" s="211"/>
      <c r="F1169" s="50"/>
      <c r="G1169" s="50"/>
    </row>
    <row r="1170" spans="1:7">
      <c r="A1170" s="50"/>
    </row>
    <row r="1171" spans="1:7">
      <c r="A1171" s="50"/>
      <c r="B1171" s="50"/>
      <c r="C1171" s="50"/>
      <c r="D1171" s="50"/>
      <c r="E1171" s="211"/>
      <c r="F1171" s="50"/>
      <c r="G1171" s="50"/>
    </row>
    <row r="1177" spans="1:7">
      <c r="A1177" s="50"/>
      <c r="B1177" s="84"/>
      <c r="C1177" s="84"/>
      <c r="D1177" s="84"/>
      <c r="E1177" s="210"/>
      <c r="F1177" s="84"/>
      <c r="G1177" s="84"/>
    </row>
    <row r="1179" spans="1:7">
      <c r="A1179" s="50"/>
      <c r="B1179" s="50"/>
      <c r="C1179" s="50"/>
      <c r="D1179" s="50"/>
      <c r="E1179" s="211"/>
      <c r="F1179" s="50"/>
      <c r="G1179" s="50"/>
    </row>
    <row r="1184" spans="1:7">
      <c r="A1184" s="83"/>
      <c r="B1184" s="84"/>
      <c r="C1184" s="84"/>
      <c r="D1184" s="84"/>
      <c r="E1184" s="210"/>
      <c r="F1184" s="84"/>
      <c r="G1184" s="84"/>
    </row>
    <row r="1186" spans="1:7">
      <c r="A1186" s="50"/>
      <c r="B1186" s="50"/>
      <c r="C1186" s="50"/>
      <c r="D1186" s="50"/>
      <c r="E1186" s="211"/>
      <c r="F1186" s="50"/>
      <c r="G1186" s="50"/>
    </row>
    <row r="1191" spans="1:7">
      <c r="A1191" s="83"/>
      <c r="B1191" s="84"/>
      <c r="C1191" s="84"/>
      <c r="D1191" s="84"/>
      <c r="E1191" s="210"/>
      <c r="F1191" s="84"/>
      <c r="G1191" s="84"/>
    </row>
    <row r="1193" spans="1:7">
      <c r="A1193" s="50"/>
      <c r="B1193" s="50"/>
      <c r="C1193" s="50"/>
      <c r="D1193" s="50"/>
      <c r="E1193" s="211"/>
      <c r="F1193" s="50"/>
      <c r="G1193" s="50"/>
    </row>
    <row r="1198" spans="1:7">
      <c r="A1198" s="83"/>
      <c r="B1198" s="84"/>
      <c r="C1198" s="84"/>
      <c r="D1198" s="84"/>
      <c r="E1198" s="210"/>
      <c r="F1198" s="84"/>
      <c r="G1198" s="84"/>
    </row>
    <row r="1200" spans="1:7">
      <c r="A1200" s="50"/>
      <c r="B1200" s="50"/>
      <c r="C1200" s="50"/>
      <c r="D1200" s="50"/>
      <c r="E1200" s="211"/>
      <c r="F1200" s="50"/>
      <c r="G1200" s="50"/>
    </row>
    <row r="1206" spans="1:7">
      <c r="A1206" s="83"/>
      <c r="B1206" s="85"/>
      <c r="C1206" s="85"/>
      <c r="D1206" s="85"/>
      <c r="E1206" s="212"/>
      <c r="F1206" s="85"/>
      <c r="G1206" s="85"/>
    </row>
    <row r="1209" spans="1:7">
      <c r="A1209" s="50"/>
      <c r="B1209" s="50"/>
      <c r="C1209" s="50"/>
      <c r="D1209" s="50"/>
      <c r="E1209" s="211"/>
      <c r="F1209" s="50"/>
      <c r="G1209" s="50"/>
    </row>
    <row r="1210" spans="1:7">
      <c r="A1210" s="50"/>
    </row>
    <row r="1211" spans="1:7">
      <c r="A1211" s="50"/>
      <c r="B1211" s="50"/>
      <c r="C1211" s="50"/>
      <c r="D1211" s="50"/>
      <c r="E1211" s="211"/>
      <c r="F1211" s="50"/>
      <c r="G1211" s="50"/>
    </row>
    <row r="1217" spans="1:7">
      <c r="A1217" s="50"/>
      <c r="B1217" s="84"/>
      <c r="C1217" s="84"/>
      <c r="D1217" s="84"/>
      <c r="E1217" s="210"/>
      <c r="F1217" s="84"/>
      <c r="G1217" s="84"/>
    </row>
    <row r="1219" spans="1:7">
      <c r="A1219" s="50"/>
      <c r="B1219" s="50"/>
      <c r="C1219" s="50"/>
      <c r="D1219" s="50"/>
      <c r="E1219" s="211"/>
      <c r="F1219" s="50"/>
      <c r="G1219" s="50"/>
    </row>
    <row r="1224" spans="1:7">
      <c r="A1224" s="83"/>
      <c r="B1224" s="84"/>
      <c r="C1224" s="84"/>
      <c r="D1224" s="84"/>
      <c r="E1224" s="210"/>
      <c r="F1224" s="84"/>
      <c r="G1224" s="84"/>
    </row>
    <row r="1226" spans="1:7">
      <c r="A1226" s="50"/>
      <c r="B1226" s="50"/>
      <c r="C1226" s="50"/>
      <c r="D1226" s="50"/>
      <c r="E1226" s="211"/>
      <c r="F1226" s="50"/>
      <c r="G1226" s="50"/>
    </row>
    <row r="1231" spans="1:7">
      <c r="A1231" s="83"/>
      <c r="B1231" s="84"/>
      <c r="C1231" s="84"/>
      <c r="D1231" s="84"/>
      <c r="E1231" s="210"/>
      <c r="F1231" s="84"/>
      <c r="G1231" s="84"/>
    </row>
    <row r="1233" spans="1:7">
      <c r="A1233" s="50"/>
      <c r="B1233" s="50"/>
      <c r="C1233" s="50"/>
      <c r="D1233" s="50"/>
      <c r="E1233" s="211"/>
      <c r="F1233" s="50"/>
      <c r="G1233" s="50"/>
    </row>
    <row r="1238" spans="1:7">
      <c r="A1238" s="83"/>
      <c r="B1238" s="84"/>
      <c r="C1238" s="84"/>
      <c r="D1238" s="84"/>
      <c r="E1238" s="210"/>
      <c r="F1238" s="84"/>
      <c r="G1238" s="84"/>
    </row>
    <row r="1240" spans="1:7">
      <c r="A1240" s="50"/>
      <c r="B1240" s="50"/>
      <c r="C1240" s="50"/>
      <c r="D1240" s="50"/>
      <c r="E1240" s="211"/>
      <c r="F1240" s="50"/>
      <c r="G1240" s="50"/>
    </row>
    <row r="1246" spans="1:7">
      <c r="A1246" s="83"/>
      <c r="B1246" s="85"/>
      <c r="C1246" s="85"/>
      <c r="D1246" s="85"/>
      <c r="E1246" s="212"/>
      <c r="F1246" s="85"/>
      <c r="G1246" s="85"/>
    </row>
    <row r="1249" spans="1:7">
      <c r="A1249" s="50"/>
      <c r="B1249" s="50"/>
      <c r="C1249" s="50"/>
      <c r="D1249" s="50"/>
      <c r="E1249" s="211"/>
      <c r="F1249" s="50"/>
      <c r="G1249" s="50"/>
    </row>
    <row r="1250" spans="1:7">
      <c r="A1250" s="50"/>
    </row>
    <row r="1251" spans="1:7">
      <c r="A1251" s="50"/>
      <c r="B1251" s="50"/>
      <c r="C1251" s="50"/>
      <c r="D1251" s="50"/>
      <c r="E1251" s="211"/>
      <c r="F1251" s="50"/>
      <c r="G1251" s="50"/>
    </row>
    <row r="1257" spans="1:7">
      <c r="A1257" s="50"/>
      <c r="B1257" s="84"/>
      <c r="C1257" s="84"/>
      <c r="D1257" s="84"/>
      <c r="E1257" s="210"/>
      <c r="F1257" s="84"/>
      <c r="G1257" s="84"/>
    </row>
    <row r="1259" spans="1:7">
      <c r="A1259" s="50"/>
      <c r="B1259" s="50"/>
      <c r="C1259" s="50"/>
      <c r="D1259" s="50"/>
      <c r="E1259" s="211"/>
      <c r="F1259" s="50"/>
      <c r="G1259" s="50"/>
    </row>
    <row r="1264" spans="1:7">
      <c r="A1264" s="83"/>
      <c r="B1264" s="84"/>
      <c r="C1264" s="84"/>
      <c r="D1264" s="84"/>
      <c r="E1264" s="210"/>
      <c r="F1264" s="84"/>
      <c r="G1264" s="84"/>
    </row>
    <row r="1266" spans="1:7">
      <c r="A1266" s="50"/>
      <c r="B1266" s="50"/>
      <c r="C1266" s="50"/>
      <c r="D1266" s="50"/>
      <c r="E1266" s="211"/>
      <c r="F1266" s="50"/>
      <c r="G1266" s="50"/>
    </row>
    <row r="1271" spans="1:7">
      <c r="A1271" s="83"/>
      <c r="B1271" s="84"/>
      <c r="C1271" s="84"/>
      <c r="D1271" s="84"/>
      <c r="E1271" s="210"/>
      <c r="F1271" s="84"/>
      <c r="G1271" s="84"/>
    </row>
    <row r="1273" spans="1:7">
      <c r="A1273" s="50"/>
      <c r="B1273" s="50"/>
      <c r="C1273" s="50"/>
      <c r="D1273" s="50"/>
      <c r="E1273" s="211"/>
      <c r="F1273" s="50"/>
      <c r="G1273" s="50"/>
    </row>
    <row r="1278" spans="1:7">
      <c r="A1278" s="83"/>
      <c r="B1278" s="84"/>
      <c r="C1278" s="84"/>
      <c r="D1278" s="84"/>
      <c r="E1278" s="210"/>
      <c r="F1278" s="84"/>
      <c r="G1278" s="84"/>
    </row>
    <row r="1280" spans="1:7">
      <c r="A1280" s="50"/>
      <c r="B1280" s="50"/>
      <c r="C1280" s="50"/>
      <c r="D1280" s="50"/>
      <c r="E1280" s="211"/>
      <c r="F1280" s="50"/>
      <c r="G1280" s="50"/>
    </row>
    <row r="1286" spans="1:7">
      <c r="A1286" s="83"/>
      <c r="B1286" s="85"/>
      <c r="C1286" s="85"/>
      <c r="D1286" s="85"/>
      <c r="E1286" s="212"/>
      <c r="F1286" s="85"/>
      <c r="G1286" s="85"/>
    </row>
    <row r="1289" spans="1:7">
      <c r="A1289" s="50"/>
      <c r="B1289" s="50"/>
      <c r="C1289" s="50"/>
      <c r="D1289" s="50"/>
      <c r="E1289" s="211"/>
      <c r="F1289" s="50"/>
      <c r="G1289" s="50"/>
    </row>
    <row r="1290" spans="1:7">
      <c r="A1290" s="50"/>
    </row>
    <row r="1291" spans="1:7">
      <c r="A1291" s="50"/>
      <c r="B1291" s="50"/>
      <c r="C1291" s="50"/>
      <c r="D1291" s="50"/>
      <c r="E1291" s="211"/>
      <c r="F1291" s="50"/>
      <c r="G1291" s="50"/>
    </row>
    <row r="1297" spans="1:7">
      <c r="A1297" s="50"/>
      <c r="B1297" s="84"/>
      <c r="C1297" s="84"/>
      <c r="D1297" s="84"/>
      <c r="E1297" s="210"/>
      <c r="F1297" s="84"/>
      <c r="G1297" s="84"/>
    </row>
    <row r="1299" spans="1:7">
      <c r="A1299" s="50"/>
      <c r="B1299" s="50"/>
      <c r="C1299" s="50"/>
      <c r="D1299" s="50"/>
      <c r="E1299" s="211"/>
      <c r="F1299" s="50"/>
      <c r="G1299" s="50"/>
    </row>
    <row r="1304" spans="1:7">
      <c r="A1304" s="83"/>
      <c r="B1304" s="84"/>
      <c r="C1304" s="84"/>
      <c r="D1304" s="84"/>
      <c r="E1304" s="210"/>
      <c r="F1304" s="84"/>
      <c r="G1304" s="84"/>
    </row>
    <row r="1306" spans="1:7">
      <c r="A1306" s="50"/>
      <c r="B1306" s="50"/>
      <c r="C1306" s="50"/>
      <c r="D1306" s="50"/>
      <c r="E1306" s="211"/>
      <c r="F1306" s="50"/>
      <c r="G1306" s="50"/>
    </row>
    <row r="1311" spans="1:7">
      <c r="A1311" s="83"/>
      <c r="B1311" s="84"/>
      <c r="C1311" s="84"/>
      <c r="D1311" s="84"/>
      <c r="E1311" s="210"/>
      <c r="F1311" s="84"/>
      <c r="G1311" s="84"/>
    </row>
    <row r="1313" spans="1:7">
      <c r="A1313" s="50"/>
      <c r="B1313" s="50"/>
      <c r="C1313" s="50"/>
      <c r="D1313" s="50"/>
      <c r="E1313" s="211"/>
      <c r="F1313" s="50"/>
      <c r="G1313" s="50"/>
    </row>
    <row r="1318" spans="1:7">
      <c r="A1318" s="83"/>
      <c r="B1318" s="84"/>
      <c r="C1318" s="84"/>
      <c r="D1318" s="84"/>
      <c r="E1318" s="210"/>
      <c r="F1318" s="84"/>
      <c r="G1318" s="84"/>
    </row>
    <row r="1320" spans="1:7">
      <c r="A1320" s="50"/>
      <c r="B1320" s="50"/>
      <c r="C1320" s="50"/>
      <c r="D1320" s="50"/>
      <c r="E1320" s="211"/>
      <c r="F1320" s="50"/>
      <c r="G1320" s="50"/>
    </row>
    <row r="1326" spans="1:7">
      <c r="A1326" s="83"/>
      <c r="B1326" s="85"/>
      <c r="C1326" s="85"/>
      <c r="D1326" s="85"/>
      <c r="E1326" s="212"/>
      <c r="F1326" s="85"/>
      <c r="G1326" s="85"/>
    </row>
    <row r="1329" spans="1:7">
      <c r="A1329" s="50"/>
      <c r="B1329" s="50"/>
      <c r="C1329" s="50"/>
      <c r="D1329" s="50"/>
      <c r="E1329" s="211"/>
      <c r="F1329" s="50"/>
      <c r="G1329" s="50"/>
    </row>
    <row r="1330" spans="1:7">
      <c r="A1330" s="50"/>
    </row>
    <row r="1331" spans="1:7">
      <c r="A1331" s="50"/>
      <c r="B1331" s="50"/>
      <c r="C1331" s="50"/>
      <c r="D1331" s="50"/>
      <c r="E1331" s="211"/>
      <c r="F1331" s="50"/>
      <c r="G1331" s="50"/>
    </row>
    <row r="1337" spans="1:7">
      <c r="A1337" s="50"/>
      <c r="B1337" s="84"/>
      <c r="C1337" s="84"/>
      <c r="D1337" s="84"/>
      <c r="E1337" s="210"/>
      <c r="F1337" s="84"/>
      <c r="G1337" s="84"/>
    </row>
    <row r="1339" spans="1:7">
      <c r="A1339" s="50"/>
      <c r="B1339" s="50"/>
      <c r="C1339" s="50"/>
      <c r="D1339" s="50"/>
      <c r="E1339" s="211"/>
      <c r="F1339" s="50"/>
      <c r="G1339" s="50"/>
    </row>
    <row r="1344" spans="1:7">
      <c r="A1344" s="83"/>
      <c r="B1344" s="84"/>
      <c r="C1344" s="84"/>
      <c r="D1344" s="84"/>
      <c r="E1344" s="210"/>
      <c r="F1344" s="84"/>
      <c r="G1344" s="84"/>
    </row>
    <row r="1346" spans="1:7">
      <c r="A1346" s="50"/>
      <c r="B1346" s="50"/>
      <c r="C1346" s="50"/>
      <c r="D1346" s="50"/>
      <c r="E1346" s="211"/>
      <c r="F1346" s="50"/>
      <c r="G1346" s="50"/>
    </row>
    <row r="1351" spans="1:7">
      <c r="A1351" s="83"/>
      <c r="B1351" s="84"/>
      <c r="C1351" s="84"/>
      <c r="D1351" s="84"/>
      <c r="E1351" s="210"/>
      <c r="F1351" s="84"/>
      <c r="G1351" s="84"/>
    </row>
    <row r="1353" spans="1:7">
      <c r="A1353" s="50"/>
      <c r="B1353" s="50"/>
      <c r="C1353" s="50"/>
      <c r="D1353" s="50"/>
      <c r="E1353" s="211"/>
      <c r="F1353" s="50"/>
      <c r="G1353" s="50"/>
    </row>
    <row r="1358" spans="1:7">
      <c r="A1358" s="83"/>
      <c r="B1358" s="84"/>
      <c r="C1358" s="84"/>
      <c r="D1358" s="84"/>
      <c r="E1358" s="210"/>
      <c r="F1358" s="84"/>
      <c r="G1358" s="84"/>
    </row>
    <row r="1360" spans="1:7">
      <c r="A1360" s="50"/>
      <c r="B1360" s="50"/>
      <c r="C1360" s="50"/>
      <c r="D1360" s="50"/>
      <c r="E1360" s="211"/>
      <c r="F1360" s="50"/>
      <c r="G1360" s="50"/>
    </row>
    <row r="1366" spans="1:7">
      <c r="A1366" s="83"/>
      <c r="B1366" s="85"/>
      <c r="C1366" s="85"/>
      <c r="D1366" s="85"/>
      <c r="E1366" s="212"/>
      <c r="F1366" s="85"/>
      <c r="G1366" s="85"/>
    </row>
    <row r="1369" spans="1:7">
      <c r="A1369" s="50"/>
      <c r="B1369" s="50"/>
      <c r="C1369" s="50"/>
      <c r="D1369" s="50"/>
      <c r="E1369" s="211"/>
      <c r="F1369" s="50"/>
      <c r="G1369" s="50"/>
    </row>
    <row r="1370" spans="1:7">
      <c r="A1370" s="50"/>
    </row>
    <row r="1371" spans="1:7">
      <c r="A1371" s="50"/>
      <c r="B1371" s="50"/>
      <c r="C1371" s="50"/>
      <c r="D1371" s="50"/>
      <c r="E1371" s="211"/>
      <c r="F1371" s="50"/>
      <c r="G1371" s="50"/>
    </row>
    <row r="1377" spans="1:7">
      <c r="A1377" s="50"/>
      <c r="B1377" s="84"/>
      <c r="C1377" s="84"/>
      <c r="D1377" s="84"/>
      <c r="E1377" s="210"/>
      <c r="F1377" s="84"/>
      <c r="G1377" s="84"/>
    </row>
    <row r="1379" spans="1:7">
      <c r="A1379" s="50"/>
      <c r="B1379" s="50"/>
      <c r="C1379" s="50"/>
      <c r="D1379" s="50"/>
      <c r="E1379" s="211"/>
      <c r="F1379" s="50"/>
      <c r="G1379" s="50"/>
    </row>
    <row r="1384" spans="1:7">
      <c r="A1384" s="83"/>
      <c r="B1384" s="84"/>
      <c r="C1384" s="84"/>
      <c r="D1384" s="84"/>
      <c r="E1384" s="210"/>
      <c r="F1384" s="84"/>
      <c r="G1384" s="84"/>
    </row>
    <row r="1386" spans="1:7">
      <c r="A1386" s="50"/>
      <c r="B1386" s="50"/>
      <c r="C1386" s="50"/>
      <c r="D1386" s="50"/>
      <c r="E1386" s="211"/>
      <c r="F1386" s="50"/>
      <c r="G1386" s="50"/>
    </row>
    <row r="1391" spans="1:7">
      <c r="A1391" s="83"/>
      <c r="B1391" s="84"/>
      <c r="C1391" s="84"/>
      <c r="D1391" s="84"/>
      <c r="E1391" s="210"/>
      <c r="F1391" s="84"/>
      <c r="G1391" s="84"/>
    </row>
    <row r="1393" spans="1:7">
      <c r="A1393" s="50"/>
      <c r="B1393" s="50"/>
      <c r="C1393" s="50"/>
      <c r="D1393" s="50"/>
      <c r="E1393" s="211"/>
      <c r="F1393" s="50"/>
      <c r="G1393" s="50"/>
    </row>
    <row r="1398" spans="1:7">
      <c r="A1398" s="83"/>
      <c r="B1398" s="84"/>
      <c r="C1398" s="84"/>
      <c r="D1398" s="84"/>
      <c r="E1398" s="210"/>
      <c r="F1398" s="84"/>
      <c r="G1398" s="84"/>
    </row>
    <row r="1400" spans="1:7">
      <c r="A1400" s="50"/>
      <c r="B1400" s="50"/>
      <c r="C1400" s="50"/>
      <c r="D1400" s="50"/>
      <c r="E1400" s="211"/>
      <c r="F1400" s="50"/>
      <c r="G1400" s="50"/>
    </row>
    <row r="1406" spans="1:7">
      <c r="A1406" s="83"/>
      <c r="B1406" s="85"/>
      <c r="C1406" s="85"/>
      <c r="D1406" s="85"/>
      <c r="E1406" s="212"/>
      <c r="F1406" s="85"/>
      <c r="G1406" s="85"/>
    </row>
    <row r="1409" spans="1:7">
      <c r="A1409" s="50"/>
      <c r="B1409" s="50"/>
      <c r="C1409" s="50"/>
      <c r="D1409" s="50"/>
      <c r="E1409" s="211"/>
      <c r="F1409" s="50"/>
      <c r="G1409" s="50"/>
    </row>
    <row r="1410" spans="1:7">
      <c r="A1410" s="50"/>
    </row>
    <row r="1411" spans="1:7">
      <c r="A1411" s="50"/>
      <c r="B1411" s="50"/>
      <c r="C1411" s="50"/>
      <c r="D1411" s="50"/>
      <c r="E1411" s="211"/>
      <c r="F1411" s="50"/>
      <c r="G1411" s="50"/>
    </row>
    <row r="1417" spans="1:7">
      <c r="A1417" s="50"/>
      <c r="B1417" s="84"/>
      <c r="C1417" s="84"/>
      <c r="D1417" s="84"/>
      <c r="E1417" s="210"/>
      <c r="F1417" s="84"/>
      <c r="G1417" s="84"/>
    </row>
    <row r="1419" spans="1:7">
      <c r="A1419" s="50"/>
      <c r="B1419" s="50"/>
      <c r="C1419" s="50"/>
      <c r="D1419" s="50"/>
      <c r="E1419" s="211"/>
      <c r="F1419" s="50"/>
      <c r="G1419" s="50"/>
    </row>
    <row r="1424" spans="1:7">
      <c r="A1424" s="83"/>
      <c r="B1424" s="84"/>
      <c r="C1424" s="84"/>
      <c r="D1424" s="84"/>
      <c r="E1424" s="210"/>
      <c r="F1424" s="84"/>
      <c r="G1424" s="84"/>
    </row>
    <row r="1426" spans="1:7">
      <c r="A1426" s="50"/>
      <c r="B1426" s="50"/>
      <c r="C1426" s="50"/>
      <c r="D1426" s="50"/>
      <c r="E1426" s="211"/>
      <c r="F1426" s="50"/>
      <c r="G1426" s="50"/>
    </row>
    <row r="1431" spans="1:7">
      <c r="A1431" s="83"/>
      <c r="B1431" s="84"/>
      <c r="C1431" s="84"/>
      <c r="D1431" s="84"/>
      <c r="E1431" s="210"/>
      <c r="F1431" s="84"/>
      <c r="G1431" s="84"/>
    </row>
    <row r="1433" spans="1:7">
      <c r="A1433" s="50"/>
      <c r="B1433" s="50"/>
      <c r="C1433" s="50"/>
      <c r="D1433" s="50"/>
      <c r="E1433" s="211"/>
      <c r="F1433" s="50"/>
      <c r="G1433" s="50"/>
    </row>
    <row r="1438" spans="1:7">
      <c r="A1438" s="83"/>
      <c r="B1438" s="84"/>
      <c r="C1438" s="84"/>
      <c r="D1438" s="84"/>
      <c r="E1438" s="210"/>
      <c r="F1438" s="84"/>
      <c r="G1438" s="84"/>
    </row>
    <row r="1440" spans="1:7">
      <c r="A1440" s="50"/>
      <c r="B1440" s="50"/>
      <c r="C1440" s="50"/>
      <c r="D1440" s="50"/>
      <c r="E1440" s="211"/>
      <c r="F1440" s="50"/>
      <c r="G1440" s="50"/>
    </row>
    <row r="1446" spans="1:7">
      <c r="A1446" s="83"/>
      <c r="B1446" s="85"/>
      <c r="C1446" s="85"/>
      <c r="D1446" s="85"/>
      <c r="E1446" s="212"/>
      <c r="F1446" s="85"/>
      <c r="G1446" s="85"/>
    </row>
    <row r="1449" spans="1:7">
      <c r="A1449" s="50"/>
      <c r="B1449" s="50"/>
      <c r="C1449" s="50"/>
      <c r="D1449" s="50"/>
      <c r="E1449" s="211"/>
      <c r="F1449" s="50"/>
      <c r="G1449" s="50"/>
    </row>
    <row r="1450" spans="1:7">
      <c r="A1450" s="50"/>
    </row>
    <row r="1451" spans="1:7">
      <c r="A1451" s="50"/>
      <c r="B1451" s="50"/>
      <c r="C1451" s="50"/>
      <c r="D1451" s="50"/>
      <c r="E1451" s="211"/>
      <c r="F1451" s="50"/>
      <c r="G1451" s="50"/>
    </row>
    <row r="1457" spans="1:7">
      <c r="A1457" s="50"/>
      <c r="B1457" s="84"/>
      <c r="C1457" s="84"/>
      <c r="D1457" s="84"/>
      <c r="E1457" s="210"/>
      <c r="F1457" s="84"/>
      <c r="G1457" s="84"/>
    </row>
    <row r="1459" spans="1:7">
      <c r="A1459" s="50"/>
      <c r="B1459" s="50"/>
      <c r="C1459" s="50"/>
      <c r="D1459" s="50"/>
      <c r="E1459" s="211"/>
      <c r="F1459" s="50"/>
      <c r="G1459" s="50"/>
    </row>
    <row r="1464" spans="1:7">
      <c r="A1464" s="83"/>
      <c r="B1464" s="84"/>
      <c r="C1464" s="84"/>
      <c r="D1464" s="84"/>
      <c r="E1464" s="210"/>
      <c r="F1464" s="84"/>
      <c r="G1464" s="84"/>
    </row>
    <row r="1466" spans="1:7">
      <c r="A1466" s="50"/>
      <c r="B1466" s="50"/>
      <c r="C1466" s="50"/>
      <c r="D1466" s="50"/>
      <c r="E1466" s="211"/>
      <c r="F1466" s="50"/>
      <c r="G1466" s="50"/>
    </row>
    <row r="1471" spans="1:7">
      <c r="A1471" s="83"/>
      <c r="B1471" s="84"/>
      <c r="C1471" s="84"/>
      <c r="D1471" s="84"/>
      <c r="E1471" s="210"/>
      <c r="F1471" s="84"/>
      <c r="G1471" s="84"/>
    </row>
    <row r="1473" spans="1:7">
      <c r="A1473" s="50"/>
      <c r="B1473" s="50"/>
      <c r="C1473" s="50"/>
      <c r="D1473" s="50"/>
      <c r="E1473" s="211"/>
      <c r="F1473" s="50"/>
      <c r="G1473" s="50"/>
    </row>
    <row r="1478" spans="1:7">
      <c r="A1478" s="83"/>
      <c r="B1478" s="84"/>
      <c r="C1478" s="84"/>
      <c r="D1478" s="84"/>
      <c r="E1478" s="210"/>
      <c r="F1478" s="84"/>
      <c r="G1478" s="84"/>
    </row>
    <row r="1480" spans="1:7">
      <c r="A1480" s="50"/>
      <c r="B1480" s="50"/>
      <c r="C1480" s="50"/>
      <c r="D1480" s="50"/>
      <c r="E1480" s="211"/>
      <c r="F1480" s="50"/>
      <c r="G1480" s="50"/>
    </row>
    <row r="1486" spans="1:7">
      <c r="A1486" s="83"/>
      <c r="B1486" s="85"/>
      <c r="C1486" s="85"/>
      <c r="D1486" s="85"/>
      <c r="E1486" s="212"/>
      <c r="F1486" s="85"/>
      <c r="G1486" s="85"/>
    </row>
    <row r="1489" spans="1:7">
      <c r="A1489" s="50"/>
      <c r="B1489" s="50"/>
      <c r="C1489" s="50"/>
      <c r="D1489" s="50"/>
      <c r="E1489" s="211"/>
      <c r="F1489" s="50"/>
      <c r="G1489" s="50"/>
    </row>
    <row r="1490" spans="1:7">
      <c r="A1490" s="50"/>
    </row>
    <row r="1491" spans="1:7">
      <c r="A1491" s="50"/>
      <c r="B1491" s="50"/>
      <c r="C1491" s="50"/>
      <c r="D1491" s="50"/>
      <c r="E1491" s="211"/>
      <c r="F1491" s="50"/>
      <c r="G1491" s="50"/>
    </row>
    <row r="1497" spans="1:7">
      <c r="A1497" s="50"/>
      <c r="B1497" s="84"/>
      <c r="C1497" s="84"/>
      <c r="D1497" s="84"/>
      <c r="E1497" s="210"/>
      <c r="F1497" s="84"/>
      <c r="G1497" s="84"/>
    </row>
    <row r="1499" spans="1:7">
      <c r="A1499" s="50"/>
      <c r="B1499" s="50"/>
      <c r="C1499" s="50"/>
      <c r="D1499" s="50"/>
      <c r="E1499" s="211"/>
      <c r="F1499" s="50"/>
      <c r="G1499" s="50"/>
    </row>
    <row r="1504" spans="1:7">
      <c r="A1504" s="83"/>
      <c r="B1504" s="84"/>
      <c r="C1504" s="84"/>
      <c r="D1504" s="84"/>
      <c r="E1504" s="210"/>
      <c r="F1504" s="84"/>
      <c r="G1504" s="84"/>
    </row>
    <row r="1506" spans="1:7">
      <c r="A1506" s="50"/>
      <c r="B1506" s="50"/>
      <c r="C1506" s="50"/>
      <c r="D1506" s="50"/>
      <c r="E1506" s="211"/>
      <c r="F1506" s="50"/>
      <c r="G1506" s="50"/>
    </row>
    <row r="1511" spans="1:7">
      <c r="A1511" s="83"/>
      <c r="B1511" s="84"/>
      <c r="C1511" s="84"/>
      <c r="D1511" s="84"/>
      <c r="E1511" s="210"/>
      <c r="F1511" s="84"/>
      <c r="G1511" s="84"/>
    </row>
    <row r="1513" spans="1:7">
      <c r="A1513" s="50"/>
      <c r="B1513" s="50"/>
      <c r="C1513" s="50"/>
      <c r="D1513" s="50"/>
      <c r="E1513" s="211"/>
      <c r="F1513" s="50"/>
      <c r="G1513" s="50"/>
    </row>
    <row r="1518" spans="1:7">
      <c r="A1518" s="83"/>
      <c r="B1518" s="84"/>
      <c r="C1518" s="84"/>
      <c r="D1518" s="84"/>
      <c r="E1518" s="210"/>
      <c r="F1518" s="84"/>
      <c r="G1518" s="84"/>
    </row>
    <row r="1520" spans="1:7">
      <c r="A1520" s="50"/>
      <c r="B1520" s="50"/>
      <c r="C1520" s="50"/>
      <c r="D1520" s="50"/>
      <c r="E1520" s="211"/>
      <c r="F1520" s="50"/>
      <c r="G1520" s="50"/>
    </row>
    <row r="1526" spans="1:7">
      <c r="A1526" s="83"/>
      <c r="B1526" s="85"/>
      <c r="C1526" s="85"/>
      <c r="D1526" s="85"/>
      <c r="E1526" s="212"/>
      <c r="F1526" s="85"/>
      <c r="G1526" s="85"/>
    </row>
  </sheetData>
  <customSheetViews>
    <customSheetView guid="{AE6F0488-1842-4C89-B05F-A836B633FB8F}" scale="75" showPageBreaks="1" hiddenColumns="1" showRuler="0">
      <pane xSplit="1" ySplit="3" topLeftCell="F28" activePane="bottomRight" state="frozen"/>
      <selection pane="bottomRight" activeCell="F37" sqref="F37"/>
      <rowBreaks count="5" manualBreakCount="5">
        <brk id="50" max="16" man="1"/>
        <brk id="94" max="15" man="1"/>
        <brk id="138" max="15" man="1"/>
        <brk id="183" max="15" man="1"/>
        <brk id="226" max="15" man="1"/>
      </rowBreaks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E31" sqref="E31"/>
      <rowBreaks count="5" manualBreakCount="5">
        <brk id="50" max="15" man="1"/>
        <brk id="95" max="15" man="1"/>
        <brk id="139" max="15" man="1"/>
        <brk id="184" max="15" man="1"/>
        <brk id="227" max="15" man="1"/>
      </rowBreaks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145" activePane="bottomRight" state="frozen"/>
      <selection pane="bottomRight" activeCell="F84" sqref="F84"/>
      <rowBreaks count="5" manualBreakCount="5">
        <brk id="50" max="16" man="1"/>
        <brk id="94" max="15" man="1"/>
        <brk id="138" max="15" man="1"/>
        <brk id="183" max="15" man="1"/>
        <brk id="226" max="15" man="1"/>
      </rowBreaks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5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5" manualBreakCount="5">
    <brk id="52" max="16" man="1"/>
    <brk id="94" max="16" man="1"/>
    <brk id="142" max="16" man="1"/>
    <brk id="190" max="16" man="1"/>
    <brk id="238" max="16" man="1"/>
  </rowBreaks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8" tint="0.79998168889431442"/>
    <pageSetUpPr fitToPage="1"/>
  </sheetPr>
  <dimension ref="A1:Z429"/>
  <sheetViews>
    <sheetView view="pageBreakPreview" zoomScale="85" zoomScaleNormal="75" zoomScaleSheetLayoutView="85" workbookViewId="0">
      <pane xSplit="1" ySplit="3" topLeftCell="B52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"/>
  <cols>
    <col min="1" max="1" width="31.85546875" style="4" customWidth="1"/>
    <col min="2" max="2" width="15" style="88" customWidth="1"/>
    <col min="3" max="3" width="11.7109375" style="88" customWidth="1"/>
    <col min="4" max="4" width="12.140625" style="88" customWidth="1"/>
    <col min="5" max="5" width="13.140625" style="228" hidden="1" customWidth="1"/>
    <col min="6" max="6" width="17.7109375" style="88" customWidth="1"/>
    <col min="7" max="7" width="15.42578125" style="88" customWidth="1"/>
    <col min="8" max="8" width="18.28515625" style="4" customWidth="1"/>
    <col min="9" max="9" width="15.42578125" style="4" customWidth="1"/>
    <col min="10" max="10" width="17.7109375" style="4" customWidth="1"/>
    <col min="11" max="11" width="14.42578125" style="4" customWidth="1"/>
    <col min="12" max="12" width="18.5703125" style="4" customWidth="1"/>
    <col min="13" max="13" width="17.28515625" style="4" customWidth="1"/>
    <col min="14" max="14" width="17.85546875" style="4" customWidth="1"/>
    <col min="15" max="15" width="15.85546875" style="4" customWidth="1"/>
    <col min="16" max="16" width="16.5703125" style="4" customWidth="1"/>
    <col min="17" max="17" width="18.85546875" style="4" customWidth="1"/>
    <col min="18" max="18" width="9.140625" style="4"/>
    <col min="19" max="19" width="11.7109375" style="4" bestFit="1" customWidth="1"/>
    <col min="20" max="20" width="14.85546875" style="4" bestFit="1" customWidth="1"/>
    <col min="21" max="21" width="14.85546875" style="4" customWidth="1"/>
    <col min="22" max="22" width="16.28515625" style="4" customWidth="1"/>
    <col min="23" max="24" width="16.5703125" style="4" customWidth="1"/>
    <col min="25" max="25" width="9.140625" style="4"/>
    <col min="26" max="26" width="9.28515625" style="4" bestFit="1" customWidth="1"/>
    <col min="27" max="16384" width="9.140625" style="4"/>
  </cols>
  <sheetData>
    <row r="1" spans="1:25" ht="15.75" customHeight="1">
      <c r="A1" s="1" t="s">
        <v>190</v>
      </c>
      <c r="B1" s="2"/>
      <c r="C1" s="2"/>
      <c r="D1" s="3"/>
      <c r="E1" s="2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5" ht="15.75" customHeight="1">
      <c r="A2" s="1"/>
      <c r="B2" s="5">
        <v>-1</v>
      </c>
      <c r="C2" s="5">
        <v>-2</v>
      </c>
      <c r="D2" s="5">
        <v>-3</v>
      </c>
      <c r="E2" s="221"/>
      <c r="F2" s="5">
        <v>-4</v>
      </c>
      <c r="G2" s="5">
        <v>-5</v>
      </c>
      <c r="H2" s="5">
        <v>-6</v>
      </c>
      <c r="I2" s="5">
        <v>-7</v>
      </c>
      <c r="J2" s="5">
        <v>-8</v>
      </c>
      <c r="K2" s="5">
        <v>-9</v>
      </c>
      <c r="L2" s="5">
        <v>-10</v>
      </c>
      <c r="M2" s="5">
        <v>-11</v>
      </c>
      <c r="N2" s="5">
        <v>-12</v>
      </c>
      <c r="O2" s="5">
        <v>-13</v>
      </c>
      <c r="P2" s="164">
        <v>-14</v>
      </c>
      <c r="Q2" s="5">
        <v>-15</v>
      </c>
      <c r="R2" s="5"/>
      <c r="S2" s="5"/>
    </row>
    <row r="3" spans="1:25" s="9" customFormat="1" ht="93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 s="14" customFormat="1" ht="12.75">
      <c r="A4" s="10"/>
      <c r="B4" s="11"/>
      <c r="C4" s="11"/>
      <c r="D4" s="12"/>
      <c r="E4" s="22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25" s="14" customFormat="1" ht="12.75">
      <c r="A5" s="15" t="s">
        <v>10</v>
      </c>
      <c r="B5" s="11"/>
      <c r="C5" s="11"/>
      <c r="D5" s="12"/>
      <c r="E5" s="222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25" s="14" customFormat="1" ht="12.75">
      <c r="A6" s="10"/>
      <c r="B6" s="11"/>
      <c r="C6" s="11"/>
      <c r="D6" s="12"/>
      <c r="E6" s="22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25" s="14" customFormat="1" ht="12.75">
      <c r="A7" s="16" t="str">
        <f>A15</f>
        <v>STATE OF NEVADA</v>
      </c>
      <c r="B7" s="17">
        <f t="shared" ref="B7:Q7" si="0">B24</f>
        <v>1.7000000000000001E-2</v>
      </c>
      <c r="C7" s="17">
        <f t="shared" si="0"/>
        <v>0</v>
      </c>
      <c r="D7" s="13">
        <f t="shared" si="0"/>
        <v>3596</v>
      </c>
      <c r="E7" s="223"/>
      <c r="F7" s="13">
        <f t="shared" si="0"/>
        <v>246728027.68117645</v>
      </c>
      <c r="G7" s="18">
        <f t="shared" si="0"/>
        <v>118593.19352</v>
      </c>
      <c r="H7" s="18">
        <f t="shared" si="0"/>
        <v>243542.32016999999</v>
      </c>
      <c r="I7" s="18">
        <f t="shared" si="0"/>
        <v>0</v>
      </c>
      <c r="J7" s="18">
        <f t="shared" si="0"/>
        <v>62023.520000000004</v>
      </c>
      <c r="K7" s="18">
        <f t="shared" si="0"/>
        <v>22.81</v>
      </c>
      <c r="L7" s="18">
        <f t="shared" si="0"/>
        <v>300134.80368999997</v>
      </c>
      <c r="M7" s="18">
        <f t="shared" si="0"/>
        <v>10791.550000000001</v>
      </c>
      <c r="N7" s="18">
        <f t="shared" si="0"/>
        <v>289343.25369000004</v>
      </c>
      <c r="O7" s="18">
        <f t="shared" si="0"/>
        <v>0</v>
      </c>
      <c r="P7" s="18">
        <f>P24</f>
        <v>41152.160000000003</v>
      </c>
      <c r="Q7" s="18">
        <f t="shared" si="0"/>
        <v>248191.09369000001</v>
      </c>
      <c r="W7" s="174" t="s">
        <v>15</v>
      </c>
      <c r="X7" s="286">
        <f>Q17+Q37+Q56+Q68+Q82</f>
        <v>2624414.9000000004</v>
      </c>
      <c r="Y7" s="390" t="s">
        <v>461</v>
      </c>
    </row>
    <row r="8" spans="1:25" s="14" customFormat="1" ht="12.75">
      <c r="A8" s="14" t="str">
        <f>A27</f>
        <v>GENERAL COUNTY</v>
      </c>
      <c r="B8" s="17">
        <f t="shared" ref="B8:Q8" si="1">B44</f>
        <v>2.2899999999999996</v>
      </c>
      <c r="C8" s="17">
        <f t="shared" si="1"/>
        <v>0.06</v>
      </c>
      <c r="D8" s="13">
        <f t="shared" si="1"/>
        <v>3596</v>
      </c>
      <c r="E8" s="223"/>
      <c r="F8" s="13">
        <f t="shared" si="1"/>
        <v>256654726.70506552</v>
      </c>
      <c r="G8" s="18">
        <f t="shared" si="1"/>
        <v>1937516.6976209604</v>
      </c>
      <c r="H8" s="18">
        <f t="shared" si="1"/>
        <v>4641116.1822999995</v>
      </c>
      <c r="I8" s="18">
        <f t="shared" si="1"/>
        <v>98854.965379039291</v>
      </c>
      <c r="J8" s="18">
        <f t="shared" si="1"/>
        <v>835488.98</v>
      </c>
      <c r="K8" s="18">
        <f t="shared" si="1"/>
        <v>307.2</v>
      </c>
      <c r="L8" s="18">
        <f t="shared" si="1"/>
        <v>5842306.0652999999</v>
      </c>
      <c r="M8" s="18">
        <f t="shared" si="1"/>
        <v>139331.71</v>
      </c>
      <c r="N8" s="18">
        <f t="shared" si="1"/>
        <v>5702974.3552999999</v>
      </c>
      <c r="O8" s="18">
        <f t="shared" si="1"/>
        <v>0</v>
      </c>
      <c r="P8" s="18">
        <f>P44</f>
        <v>554343.74</v>
      </c>
      <c r="Q8" s="18">
        <f t="shared" si="1"/>
        <v>5148630.6152999997</v>
      </c>
      <c r="W8" s="171" t="s">
        <v>16</v>
      </c>
      <c r="X8" s="286">
        <f t="shared" ref="X8:X14" si="2">Q18+Q38+Q57+Q69+Q83</f>
        <v>554357.87792</v>
      </c>
    </row>
    <row r="9" spans="1:25" s="14" customFormat="1" ht="12.75">
      <c r="A9" s="16" t="str">
        <f>A54</f>
        <v>SCHOOL DISTRICT</v>
      </c>
      <c r="B9" s="17">
        <f t="shared" ref="B9:Q9" si="3">B77</f>
        <v>1</v>
      </c>
      <c r="C9" s="17">
        <f t="shared" si="3"/>
        <v>0</v>
      </c>
      <c r="D9" s="13">
        <f t="shared" si="3"/>
        <v>3596</v>
      </c>
      <c r="E9" s="223"/>
      <c r="F9" s="13">
        <f t="shared" si="3"/>
        <v>256654712.07333329</v>
      </c>
      <c r="G9" s="18">
        <f t="shared" si="3"/>
        <v>850231.40999999992</v>
      </c>
      <c r="H9" s="18">
        <f t="shared" si="3"/>
        <v>2081231.2199999997</v>
      </c>
      <c r="I9" s="18">
        <f t="shared" si="3"/>
        <v>0</v>
      </c>
      <c r="J9" s="18">
        <f t="shared" si="3"/>
        <v>364841.98000000004</v>
      </c>
      <c r="K9" s="18">
        <f t="shared" si="3"/>
        <v>134.18</v>
      </c>
      <c r="L9" s="18">
        <f t="shared" si="3"/>
        <v>2566754.83</v>
      </c>
      <c r="M9" s="18">
        <f t="shared" si="3"/>
        <v>62480.75</v>
      </c>
      <c r="N9" s="18">
        <f t="shared" si="3"/>
        <v>2504274.08</v>
      </c>
      <c r="O9" s="18">
        <f t="shared" si="3"/>
        <v>0</v>
      </c>
      <c r="P9" s="18">
        <f>P77</f>
        <v>242071.5</v>
      </c>
      <c r="Q9" s="18">
        <f t="shared" si="3"/>
        <v>2262202.58</v>
      </c>
      <c r="W9" s="171" t="s">
        <v>17</v>
      </c>
      <c r="X9" s="286">
        <f t="shared" si="2"/>
        <v>2527459.8650699994</v>
      </c>
    </row>
    <row r="10" spans="1:25" s="14" customFormat="1" ht="12.75">
      <c r="A10" s="16" t="str">
        <f>A80</f>
        <v>MINERAL COUNTY HOSPITAL DISTRICT</v>
      </c>
      <c r="B10" s="17">
        <f t="shared" ref="B10:Q10" si="4">B89</f>
        <v>0.2</v>
      </c>
      <c r="C10" s="17">
        <f t="shared" si="4"/>
        <v>0</v>
      </c>
      <c r="D10" s="13">
        <f t="shared" si="4"/>
        <v>3596</v>
      </c>
      <c r="E10" s="223"/>
      <c r="F10" s="13">
        <f t="shared" si="4"/>
        <v>291642183.97000003</v>
      </c>
      <c r="G10" s="18">
        <f t="shared" si="4"/>
        <v>170046.22200000001</v>
      </c>
      <c r="H10" s="18">
        <f t="shared" si="4"/>
        <v>416244.97199999995</v>
      </c>
      <c r="I10" s="18">
        <f t="shared" si="4"/>
        <v>0</v>
      </c>
      <c r="J10" s="18">
        <f t="shared" si="4"/>
        <v>72968.5</v>
      </c>
      <c r="K10" s="18">
        <f t="shared" si="4"/>
        <v>26.84</v>
      </c>
      <c r="L10" s="18">
        <f t="shared" si="4"/>
        <v>513349.53399999999</v>
      </c>
      <c r="M10" s="18">
        <f t="shared" si="4"/>
        <v>12496.359999999999</v>
      </c>
      <c r="N10" s="18">
        <f t="shared" si="4"/>
        <v>500853.174</v>
      </c>
      <c r="O10" s="18">
        <f t="shared" si="4"/>
        <v>0</v>
      </c>
      <c r="P10" s="18">
        <f>P89</f>
        <v>48414.3</v>
      </c>
      <c r="Q10" s="18">
        <f t="shared" si="4"/>
        <v>452438.87399999995</v>
      </c>
      <c r="W10" s="171" t="s">
        <v>18</v>
      </c>
      <c r="X10" s="286"/>
    </row>
    <row r="11" spans="1:25" s="14" customFormat="1" ht="12.75">
      <c r="A11" s="19"/>
      <c r="B11" s="11"/>
      <c r="C11" s="11"/>
      <c r="D11" s="12"/>
      <c r="E11" s="222"/>
      <c r="F11" s="12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W11" s="285" t="s">
        <v>19</v>
      </c>
      <c r="X11" s="286">
        <f>N21+Q41+Q60+Q72+Q86</f>
        <v>2214489.1800000002</v>
      </c>
      <c r="Y11" s="390" t="s">
        <v>461</v>
      </c>
    </row>
    <row r="12" spans="1:25" s="14" customFormat="1" ht="13.5" thickBot="1">
      <c r="A12" s="19" t="s">
        <v>14</v>
      </c>
      <c r="B12" s="11"/>
      <c r="C12" s="11"/>
      <c r="D12" s="20">
        <f>D7</f>
        <v>3596</v>
      </c>
      <c r="E12" s="224"/>
      <c r="F12" s="20">
        <f>F7</f>
        <v>246728027.68117645</v>
      </c>
      <c r="G12" s="28">
        <f t="shared" ref="G12:Q12" si="5">SUM(G7:G10)</f>
        <v>3076387.5231409604</v>
      </c>
      <c r="H12" s="28">
        <f t="shared" si="5"/>
        <v>7382134.6944699995</v>
      </c>
      <c r="I12" s="28">
        <f t="shared" si="5"/>
        <v>98854.965379039291</v>
      </c>
      <c r="J12" s="28">
        <f t="shared" si="5"/>
        <v>1335322.98</v>
      </c>
      <c r="K12" s="28">
        <f t="shared" si="5"/>
        <v>491.03</v>
      </c>
      <c r="L12" s="28">
        <f t="shared" si="5"/>
        <v>9222545.2329900004</v>
      </c>
      <c r="M12" s="28">
        <f t="shared" si="5"/>
        <v>225100.36999999997</v>
      </c>
      <c r="N12" s="28">
        <f t="shared" si="5"/>
        <v>8997444.8629900012</v>
      </c>
      <c r="O12" s="28">
        <f t="shared" si="5"/>
        <v>0</v>
      </c>
      <c r="P12" s="28">
        <f>SUM(P7:P10)</f>
        <v>885981.70000000007</v>
      </c>
      <c r="Q12" s="28">
        <f t="shared" si="5"/>
        <v>8111463.1629900001</v>
      </c>
      <c r="W12" s="285" t="s">
        <v>20</v>
      </c>
      <c r="X12" s="286">
        <f t="shared" si="2"/>
        <v>231893.5</v>
      </c>
      <c r="Y12" s="390" t="s">
        <v>461</v>
      </c>
    </row>
    <row r="13" spans="1:25" s="14" customFormat="1" ht="13.5" thickBot="1">
      <c r="A13" s="21"/>
      <c r="B13" s="22"/>
      <c r="C13" s="22"/>
      <c r="D13" s="23"/>
      <c r="E13" s="225"/>
      <c r="F13" s="23"/>
      <c r="G13" s="23"/>
      <c r="H13" s="23"/>
      <c r="I13" s="23"/>
      <c r="J13" s="23"/>
      <c r="K13" s="23"/>
      <c r="L13" s="325" t="s">
        <v>388</v>
      </c>
      <c r="M13" s="280">
        <f>M12/L12</f>
        <v>2.4407618972124161E-2</v>
      </c>
      <c r="N13" s="23"/>
      <c r="O13" s="23"/>
      <c r="P13" s="23"/>
      <c r="Q13" s="23"/>
      <c r="W13" s="174"/>
      <c r="X13" s="286"/>
    </row>
    <row r="14" spans="1:25" s="14" customFormat="1" ht="12.75">
      <c r="A14" s="10"/>
      <c r="B14" s="11"/>
      <c r="C14" s="11"/>
      <c r="D14" s="12"/>
      <c r="E14" s="222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W14" s="174"/>
      <c r="X14" s="286">
        <f t="shared" si="2"/>
        <v>8111463.1629900001</v>
      </c>
    </row>
    <row r="15" spans="1:25" s="14" customFormat="1" ht="12.75">
      <c r="A15" s="15" t="s">
        <v>11</v>
      </c>
      <c r="B15" s="11"/>
      <c r="C15" s="11"/>
      <c r="D15" s="12"/>
      <c r="E15" s="222"/>
      <c r="F15" s="12"/>
      <c r="G15" s="24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5" s="14" customFormat="1" ht="12.75">
      <c r="A16" s="16"/>
      <c r="B16" s="17"/>
      <c r="C16" s="17"/>
      <c r="D16" s="13"/>
      <c r="E16" s="65">
        <v>16958256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26" s="14" customFormat="1" ht="12.75">
      <c r="A17" s="14" t="s">
        <v>15</v>
      </c>
      <c r="B17" s="17">
        <v>1.7000000000000001E-2</v>
      </c>
      <c r="C17" s="17">
        <v>0</v>
      </c>
      <c r="D17" s="13">
        <v>3596</v>
      </c>
      <c r="E17" s="173">
        <f>G17/B17*100</f>
        <v>11029647.058823528</v>
      </c>
      <c r="F17" s="13">
        <v>76509636</v>
      </c>
      <c r="G17" s="18">
        <v>1875.04</v>
      </c>
      <c r="H17" s="18">
        <v>130627.66</v>
      </c>
      <c r="I17" s="18">
        <v>0</v>
      </c>
      <c r="J17" s="18">
        <v>2425.61</v>
      </c>
      <c r="K17" s="18">
        <v>22.81</v>
      </c>
      <c r="L17" s="18">
        <f>G17+H17+I17-J17+K17</f>
        <v>130099.90000000001</v>
      </c>
      <c r="M17" s="18">
        <v>8337.4500000000007</v>
      </c>
      <c r="N17" s="18">
        <f>L17-M17</f>
        <v>121762.45000000001</v>
      </c>
      <c r="O17" s="18">
        <v>0</v>
      </c>
      <c r="P17" s="18">
        <v>0</v>
      </c>
      <c r="Q17" s="18">
        <f>N17-O17-P17</f>
        <v>121762.45000000001</v>
      </c>
    </row>
    <row r="18" spans="1:26" s="14" customFormat="1" ht="12.75">
      <c r="A18" s="16" t="s">
        <v>16</v>
      </c>
      <c r="B18" s="17">
        <f>+B17</f>
        <v>1.7000000000000001E-2</v>
      </c>
      <c r="C18" s="17">
        <f>+C17</f>
        <v>0</v>
      </c>
      <c r="D18" s="13"/>
      <c r="E18" s="223">
        <v>509737</v>
      </c>
      <c r="F18" s="65">
        <f>IF(E16&gt;E17,E16-E17,0)</f>
        <v>5928608.9411764722</v>
      </c>
      <c r="G18" s="18">
        <f>F18*(B18-C18)/100</f>
        <v>1007.8635200000003</v>
      </c>
      <c r="H18" s="18"/>
      <c r="I18" s="18">
        <f>F18*C18/100</f>
        <v>0</v>
      </c>
      <c r="J18" s="18"/>
      <c r="K18" s="18"/>
      <c r="L18" s="18">
        <f>G18+H18+I18-J18+K18</f>
        <v>1007.8635200000003</v>
      </c>
      <c r="M18" s="18"/>
      <c r="N18" s="18">
        <f>L18-M18</f>
        <v>1007.8635200000003</v>
      </c>
      <c r="O18" s="18"/>
      <c r="P18" s="18"/>
      <c r="Q18" s="18">
        <f>N18-O18-P18</f>
        <v>1007.8635200000003</v>
      </c>
    </row>
    <row r="19" spans="1:26" s="14" customFormat="1" ht="12.75">
      <c r="A19" s="16" t="s">
        <v>17</v>
      </c>
      <c r="B19" s="17">
        <f>B18</f>
        <v>1.7000000000000001E-2</v>
      </c>
      <c r="C19" s="17">
        <f t="shared" ref="C19:C22" si="6">+C18</f>
        <v>0</v>
      </c>
      <c r="D19" s="13"/>
      <c r="E19" s="223"/>
      <c r="F19" s="25">
        <v>72069001</v>
      </c>
      <c r="G19" s="18"/>
      <c r="H19" s="18">
        <f>F19*(B19-C19)/100</f>
        <v>12251.730170000001</v>
      </c>
      <c r="I19" s="18">
        <f>F19*C19/100</f>
        <v>0</v>
      </c>
      <c r="J19" s="18">
        <v>0</v>
      </c>
      <c r="K19" s="18">
        <v>0</v>
      </c>
      <c r="L19" s="18">
        <f>G19+H19+I19-J19+K19</f>
        <v>12251.730170000001</v>
      </c>
      <c r="M19" s="18">
        <v>0</v>
      </c>
      <c r="N19" s="18">
        <f>L19-M19</f>
        <v>12251.730170000001</v>
      </c>
      <c r="O19" s="18">
        <v>0</v>
      </c>
      <c r="P19" s="18">
        <v>0</v>
      </c>
      <c r="Q19" s="18">
        <f>N19-O19-P19</f>
        <v>12251.730170000001</v>
      </c>
      <c r="Z19" s="18">
        <f>+X12-64576.5</f>
        <v>167317</v>
      </c>
    </row>
    <row r="20" spans="1:26" s="14" customFormat="1" ht="12.75">
      <c r="A20" s="16" t="s">
        <v>18</v>
      </c>
      <c r="B20" s="17">
        <f>B17</f>
        <v>1.7000000000000001E-2</v>
      </c>
      <c r="C20" s="17">
        <f t="shared" si="6"/>
        <v>0</v>
      </c>
      <c r="D20" s="13"/>
      <c r="E20" s="223"/>
      <c r="F20" s="13"/>
      <c r="G20" s="18"/>
      <c r="H20" s="18"/>
      <c r="I20" s="18"/>
      <c r="J20" s="18"/>
      <c r="K20" s="18"/>
      <c r="L20" s="18"/>
      <c r="M20" s="18"/>
      <c r="N20" s="18">
        <f t="shared" ref="N20:N21" si="7">L20-M20</f>
        <v>0</v>
      </c>
      <c r="O20" s="18"/>
      <c r="P20" s="18"/>
      <c r="Q20" s="18">
        <f t="shared" ref="Q20:Q21" si="8">N20-O20-P20</f>
        <v>0</v>
      </c>
    </row>
    <row r="21" spans="1:26" s="14" customFormat="1" ht="12.75">
      <c r="A21" s="26" t="s">
        <v>19</v>
      </c>
      <c r="B21" s="17">
        <f>B17</f>
        <v>1.7000000000000001E-2</v>
      </c>
      <c r="C21" s="17">
        <f t="shared" si="6"/>
        <v>0</v>
      </c>
      <c r="D21" s="13"/>
      <c r="E21" s="223"/>
      <c r="F21" s="13">
        <v>85884892.950000003</v>
      </c>
      <c r="G21" s="18">
        <v>104951.12</v>
      </c>
      <c r="H21" s="18">
        <v>100651.09</v>
      </c>
      <c r="I21" s="18">
        <v>0</v>
      </c>
      <c r="J21" s="18">
        <v>59597.91</v>
      </c>
      <c r="K21" s="18">
        <v>0</v>
      </c>
      <c r="L21" s="18">
        <f t="shared" ref="L21" si="9">G21+H21+I21-J21+K21</f>
        <v>146004.29999999999</v>
      </c>
      <c r="M21" s="18">
        <v>2454.1</v>
      </c>
      <c r="N21" s="18">
        <f t="shared" si="7"/>
        <v>143550.19999999998</v>
      </c>
      <c r="O21" s="18">
        <v>0</v>
      </c>
      <c r="P21" s="18">
        <v>41152.160000000003</v>
      </c>
      <c r="Q21" s="18">
        <f t="shared" si="8"/>
        <v>102398.03999999998</v>
      </c>
    </row>
    <row r="22" spans="1:26" s="14" customFormat="1" ht="12.75">
      <c r="A22" s="26" t="s">
        <v>20</v>
      </c>
      <c r="B22" s="17">
        <f>B17</f>
        <v>1.7000000000000001E-2</v>
      </c>
      <c r="C22" s="17">
        <f t="shared" si="6"/>
        <v>0</v>
      </c>
      <c r="D22" s="13"/>
      <c r="E22" s="223"/>
      <c r="F22" s="13">
        <v>6335888.79</v>
      </c>
      <c r="G22" s="18">
        <v>10759.17</v>
      </c>
      <c r="H22" s="18">
        <v>11.84</v>
      </c>
      <c r="I22" s="18">
        <v>0</v>
      </c>
      <c r="J22" s="18">
        <v>0</v>
      </c>
      <c r="K22" s="18">
        <v>0</v>
      </c>
      <c r="L22" s="18">
        <f>G22+H22+I22-J22+K22</f>
        <v>10771.01</v>
      </c>
      <c r="M22" s="18">
        <v>0</v>
      </c>
      <c r="N22" s="18">
        <f>L22-M22</f>
        <v>10771.01</v>
      </c>
      <c r="O22" s="18">
        <v>0</v>
      </c>
      <c r="P22" s="18">
        <v>0</v>
      </c>
      <c r="Q22" s="18">
        <f>N22-O22-P22</f>
        <v>10771.01</v>
      </c>
    </row>
    <row r="23" spans="1:26" s="14" customFormat="1" ht="12.75">
      <c r="A23" s="16"/>
      <c r="B23" s="17"/>
      <c r="C23" s="17"/>
      <c r="D23" s="13"/>
      <c r="E23" s="223"/>
      <c r="F23" s="13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26" s="10" customFormat="1" ht="13.5" thickBot="1">
      <c r="A24" s="21" t="str">
        <f>"TOTAL "&amp;A15</f>
        <v>TOTAL STATE OF NEVADA</v>
      </c>
      <c r="B24" s="27">
        <f>B17</f>
        <v>1.7000000000000001E-2</v>
      </c>
      <c r="C24" s="27">
        <f>C17</f>
        <v>0</v>
      </c>
      <c r="D24" s="20">
        <f t="shared" ref="D24:Q24" si="10">SUM(D17:D19,D21:D22)</f>
        <v>3596</v>
      </c>
      <c r="E24" s="224"/>
      <c r="F24" s="20">
        <f t="shared" si="10"/>
        <v>246728027.68117645</v>
      </c>
      <c r="G24" s="28">
        <f t="shared" si="10"/>
        <v>118593.19352</v>
      </c>
      <c r="H24" s="28">
        <f t="shared" si="10"/>
        <v>243542.32016999999</v>
      </c>
      <c r="I24" s="28">
        <f t="shared" si="10"/>
        <v>0</v>
      </c>
      <c r="J24" s="28">
        <f t="shared" si="10"/>
        <v>62023.520000000004</v>
      </c>
      <c r="K24" s="28">
        <f t="shared" si="10"/>
        <v>22.81</v>
      </c>
      <c r="L24" s="28">
        <f t="shared" si="10"/>
        <v>300134.80368999997</v>
      </c>
      <c r="M24" s="28">
        <f t="shared" si="10"/>
        <v>10791.550000000001</v>
      </c>
      <c r="N24" s="28">
        <f>SUM(N17:N19,N21:N22)</f>
        <v>289343.25369000004</v>
      </c>
      <c r="O24" s="28">
        <f t="shared" si="10"/>
        <v>0</v>
      </c>
      <c r="P24" s="28">
        <f t="shared" si="10"/>
        <v>41152.160000000003</v>
      </c>
      <c r="Q24" s="28">
        <f t="shared" si="10"/>
        <v>248191.09369000001</v>
      </c>
    </row>
    <row r="25" spans="1:26" s="49" customFormat="1" ht="12.75">
      <c r="A25" s="150" t="s">
        <v>355</v>
      </c>
      <c r="B25" s="48"/>
      <c r="C25" s="48"/>
      <c r="D25" s="43"/>
      <c r="E25" s="173"/>
      <c r="F25" s="64">
        <v>257989996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26" s="49" customFormat="1" ht="12.75">
      <c r="A26" s="151" t="s">
        <v>30</v>
      </c>
      <c r="B26" s="51"/>
      <c r="C26" s="51"/>
      <c r="D26" s="52"/>
      <c r="E26" s="203"/>
      <c r="F26" s="152">
        <f>F24-F25</f>
        <v>-11261968.318823546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T26" s="266" t="s">
        <v>378</v>
      </c>
      <c r="U26" s="266" t="s">
        <v>384</v>
      </c>
      <c r="V26" s="266" t="s">
        <v>227</v>
      </c>
    </row>
    <row r="27" spans="1:26" s="14" customFormat="1" ht="12.75">
      <c r="A27" s="15" t="s">
        <v>12</v>
      </c>
      <c r="B27" s="17"/>
      <c r="C27" s="17"/>
      <c r="D27" s="13"/>
      <c r="E27" s="22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T27" s="266" t="s">
        <v>379</v>
      </c>
      <c r="U27" s="266" t="s">
        <v>385</v>
      </c>
      <c r="V27" s="266" t="s">
        <v>382</v>
      </c>
    </row>
    <row r="28" spans="1:26" s="14" customFormat="1" ht="12.75">
      <c r="A28" s="16"/>
      <c r="B28" s="17"/>
      <c r="C28" s="17"/>
      <c r="D28" s="13"/>
      <c r="E28" s="223"/>
      <c r="F28" s="463">
        <f>(G37+H37+I37)/B37*100</f>
        <v>77941934.497816607</v>
      </c>
      <c r="G28" s="463"/>
      <c r="H28" s="464">
        <f>F28+J28</f>
        <v>79368575.545851544</v>
      </c>
      <c r="I28" s="463"/>
      <c r="J28" s="463">
        <f>J37/B37*100</f>
        <v>1426641.0480349346</v>
      </c>
      <c r="K28" s="13"/>
      <c r="L28" s="13"/>
      <c r="M28" s="13"/>
      <c r="N28" s="13"/>
      <c r="O28" s="13"/>
      <c r="P28" s="13"/>
      <c r="Q28" s="13"/>
      <c r="T28" s="266"/>
      <c r="U28" s="266" t="s">
        <v>381</v>
      </c>
      <c r="V28" s="266" t="s">
        <v>383</v>
      </c>
    </row>
    <row r="29" spans="1:26" s="14" customFormat="1" ht="12.75">
      <c r="A29" s="14" t="s">
        <v>15</v>
      </c>
      <c r="B29" s="17"/>
      <c r="C29" s="17"/>
      <c r="D29" s="13"/>
      <c r="E29" s="22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T29" s="266"/>
      <c r="U29" s="266"/>
      <c r="V29" s="266"/>
    </row>
    <row r="30" spans="1:26" s="14" customFormat="1" ht="12.75">
      <c r="A30" s="26" t="s">
        <v>145</v>
      </c>
      <c r="B30" s="17">
        <v>2.0615999999999999</v>
      </c>
      <c r="C30" s="17"/>
      <c r="D30" s="13">
        <v>3596</v>
      </c>
      <c r="E30" s="223"/>
      <c r="F30" s="13">
        <v>76509636</v>
      </c>
      <c r="G30" s="18">
        <v>22738.31</v>
      </c>
      <c r="H30" s="18">
        <v>1584116.44</v>
      </c>
      <c r="I30" s="18">
        <v>0</v>
      </c>
      <c r="J30" s="18">
        <v>29412.25</v>
      </c>
      <c r="K30" s="18">
        <v>276.57</v>
      </c>
      <c r="L30" s="18">
        <f t="shared" ref="L30:L35" si="11">G30+H30+I30-J30+K30</f>
        <v>1577719.07</v>
      </c>
      <c r="M30" s="18">
        <v>101107.8</v>
      </c>
      <c r="N30" s="18">
        <f t="shared" ref="N30:N35" si="12">L30-M30</f>
        <v>1476611.27</v>
      </c>
      <c r="O30" s="18">
        <v>0</v>
      </c>
      <c r="P30" s="18">
        <v>0</v>
      </c>
      <c r="Q30" s="18">
        <f t="shared" ref="Q30:Q35" si="13">N30-O30-P30</f>
        <v>1476611.27</v>
      </c>
      <c r="T30" s="267">
        <f t="shared" ref="T30:T35" si="14">B30/$B$37</f>
        <v>0.90026200873362461</v>
      </c>
      <c r="U30" s="153">
        <f t="shared" ref="U30:U35" si="15">$T$42*T30</f>
        <v>3155859.014633398</v>
      </c>
      <c r="V30" s="153">
        <f t="shared" ref="V30:V35" si="16">Q30+U30</f>
        <v>4632470.2846333981</v>
      </c>
    </row>
    <row r="31" spans="1:26" s="14" customFormat="1" ht="12.75">
      <c r="A31" s="26" t="s">
        <v>138</v>
      </c>
      <c r="B31" s="17">
        <v>3.3999999999999998E-3</v>
      </c>
      <c r="C31" s="17"/>
      <c r="D31" s="13">
        <v>3596</v>
      </c>
      <c r="E31" s="223"/>
      <c r="F31" s="13">
        <v>76509636</v>
      </c>
      <c r="G31" s="18">
        <v>37.5</v>
      </c>
      <c r="H31" s="18">
        <v>2612.66</v>
      </c>
      <c r="I31" s="18">
        <v>0</v>
      </c>
      <c r="J31" s="18">
        <v>48.75</v>
      </c>
      <c r="K31" s="18">
        <v>0.45</v>
      </c>
      <c r="L31" s="18">
        <f>G31+H31+I31-J31+K31</f>
        <v>2601.8599999999997</v>
      </c>
      <c r="M31" s="18">
        <v>166.49</v>
      </c>
      <c r="N31" s="18">
        <f t="shared" si="12"/>
        <v>2435.37</v>
      </c>
      <c r="O31" s="18">
        <v>0</v>
      </c>
      <c r="P31" s="18">
        <v>0</v>
      </c>
      <c r="Q31" s="18">
        <f t="shared" si="13"/>
        <v>2435.37</v>
      </c>
      <c r="R31" s="323"/>
      <c r="T31" s="267">
        <f t="shared" si="14"/>
        <v>1.4847161572052404E-3</v>
      </c>
      <c r="U31" s="153">
        <f t="shared" si="15"/>
        <v>5204.6568925851534</v>
      </c>
      <c r="V31" s="153">
        <f t="shared" si="16"/>
        <v>7640.0268925851533</v>
      </c>
    </row>
    <row r="32" spans="1:26" s="14" customFormat="1" ht="12.75">
      <c r="A32" s="26" t="s">
        <v>137</v>
      </c>
      <c r="B32" s="17">
        <v>0.105</v>
      </c>
      <c r="C32" s="17"/>
      <c r="D32" s="13">
        <v>3596</v>
      </c>
      <c r="E32" s="223"/>
      <c r="F32" s="13">
        <v>76509636</v>
      </c>
      <c r="G32" s="18">
        <v>1158.1099999999999</v>
      </c>
      <c r="H32" s="18">
        <v>80682.850000000006</v>
      </c>
      <c r="I32" s="18">
        <v>0</v>
      </c>
      <c r="J32" s="18">
        <v>1497.94</v>
      </c>
      <c r="K32" s="18">
        <v>14.1</v>
      </c>
      <c r="L32" s="18">
        <f t="shared" si="11"/>
        <v>80357.12000000001</v>
      </c>
      <c r="M32" s="18">
        <v>5149.26</v>
      </c>
      <c r="N32" s="18">
        <f t="shared" si="12"/>
        <v>75207.860000000015</v>
      </c>
      <c r="O32" s="18">
        <v>0</v>
      </c>
      <c r="P32" s="18">
        <v>0</v>
      </c>
      <c r="Q32" s="18">
        <f t="shared" si="13"/>
        <v>75207.860000000015</v>
      </c>
      <c r="R32" s="324"/>
      <c r="T32" s="267">
        <f t="shared" si="14"/>
        <v>4.5851528384279486E-2</v>
      </c>
      <c r="U32" s="153">
        <f t="shared" si="15"/>
        <v>160732.05109454153</v>
      </c>
      <c r="V32" s="153">
        <f t="shared" si="16"/>
        <v>235939.91109454155</v>
      </c>
    </row>
    <row r="33" spans="1:22" s="14" customFormat="1" ht="12.75">
      <c r="A33" s="26" t="s">
        <v>377</v>
      </c>
      <c r="B33" s="17">
        <v>0.01</v>
      </c>
      <c r="C33" s="17"/>
      <c r="D33" s="13">
        <v>3596</v>
      </c>
      <c r="E33" s="223"/>
      <c r="F33" s="13">
        <v>76509636</v>
      </c>
      <c r="G33" s="18">
        <v>110.32</v>
      </c>
      <c r="H33" s="18">
        <v>7684.02</v>
      </c>
      <c r="I33" s="18">
        <v>0</v>
      </c>
      <c r="J33" s="18">
        <v>142.5</v>
      </c>
      <c r="K33" s="18">
        <v>1.34</v>
      </c>
      <c r="L33" s="18">
        <f t="shared" si="11"/>
        <v>7653.18</v>
      </c>
      <c r="M33" s="18">
        <v>490.36</v>
      </c>
      <c r="N33" s="18">
        <f t="shared" si="12"/>
        <v>7162.8200000000006</v>
      </c>
      <c r="O33" s="18">
        <v>0</v>
      </c>
      <c r="P33" s="18">
        <v>0</v>
      </c>
      <c r="Q33" s="18">
        <f t="shared" si="13"/>
        <v>7162.8200000000006</v>
      </c>
      <c r="R33" s="324"/>
      <c r="T33" s="267">
        <f t="shared" si="14"/>
        <v>4.3668122270742364E-3</v>
      </c>
      <c r="U33" s="153">
        <f t="shared" si="15"/>
        <v>15307.814389956335</v>
      </c>
      <c r="V33" s="153">
        <f t="shared" si="16"/>
        <v>22470.634389956336</v>
      </c>
    </row>
    <row r="34" spans="1:22" s="14" customFormat="1" ht="12.75">
      <c r="A34" s="26" t="s">
        <v>192</v>
      </c>
      <c r="B34" s="17">
        <v>0.06</v>
      </c>
      <c r="C34" s="17">
        <v>0.06</v>
      </c>
      <c r="D34" s="13">
        <v>3596</v>
      </c>
      <c r="E34" s="223"/>
      <c r="F34" s="13">
        <v>76509636</v>
      </c>
      <c r="G34" s="18">
        <v>661.77</v>
      </c>
      <c r="H34" s="18">
        <v>0</v>
      </c>
      <c r="I34" s="18">
        <v>46096.2</v>
      </c>
      <c r="J34" s="18">
        <v>855.57</v>
      </c>
      <c r="K34" s="18">
        <v>8.0399999999999991</v>
      </c>
      <c r="L34" s="18">
        <f t="shared" si="11"/>
        <v>45910.439999999995</v>
      </c>
      <c r="M34" s="18">
        <v>0</v>
      </c>
      <c r="N34" s="18">
        <f t="shared" si="12"/>
        <v>45910.439999999995</v>
      </c>
      <c r="O34" s="18">
        <v>0</v>
      </c>
      <c r="P34" s="18">
        <v>0</v>
      </c>
      <c r="Q34" s="18">
        <f t="shared" si="13"/>
        <v>45910.439999999995</v>
      </c>
      <c r="T34" s="267">
        <f t="shared" si="14"/>
        <v>2.6200873362445417E-2</v>
      </c>
      <c r="U34" s="153">
        <f t="shared" si="15"/>
        <v>91846.886339738005</v>
      </c>
      <c r="V34" s="153">
        <f t="shared" si="16"/>
        <v>137757.32633973801</v>
      </c>
    </row>
    <row r="35" spans="1:22" s="14" customFormat="1" ht="12.75">
      <c r="A35" s="26" t="s">
        <v>136</v>
      </c>
      <c r="B35" s="17">
        <v>0.05</v>
      </c>
      <c r="C35" s="17"/>
      <c r="D35" s="13">
        <v>3596</v>
      </c>
      <c r="E35" s="223"/>
      <c r="F35" s="13">
        <v>76509636</v>
      </c>
      <c r="G35" s="18">
        <v>551.5</v>
      </c>
      <c r="H35" s="18">
        <v>38420.620000000003</v>
      </c>
      <c r="I35" s="18">
        <v>0</v>
      </c>
      <c r="J35" s="18">
        <v>713.07</v>
      </c>
      <c r="K35" s="18">
        <v>6.7</v>
      </c>
      <c r="L35" s="18">
        <f t="shared" si="11"/>
        <v>38265.75</v>
      </c>
      <c r="M35" s="18">
        <v>2452.39</v>
      </c>
      <c r="N35" s="18">
        <f t="shared" si="12"/>
        <v>35813.360000000001</v>
      </c>
      <c r="O35" s="18">
        <v>0</v>
      </c>
      <c r="P35" s="18">
        <v>0</v>
      </c>
      <c r="Q35" s="18">
        <f t="shared" si="13"/>
        <v>35813.360000000001</v>
      </c>
      <c r="T35" s="267">
        <f t="shared" si="14"/>
        <v>2.1834061135371185E-2</v>
      </c>
      <c r="U35" s="153">
        <f t="shared" si="15"/>
        <v>76539.071949781675</v>
      </c>
      <c r="V35" s="153">
        <f t="shared" si="16"/>
        <v>112352.43194978168</v>
      </c>
    </row>
    <row r="36" spans="1:22" s="10" customFormat="1" ht="12.75">
      <c r="A36" s="29"/>
      <c r="B36" s="11"/>
      <c r="C36" s="11"/>
      <c r="D36" s="12"/>
      <c r="E36" s="65">
        <v>16958256</v>
      </c>
      <c r="F36" s="12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T36" s="270"/>
      <c r="U36" s="270"/>
      <c r="V36" s="270"/>
    </row>
    <row r="37" spans="1:22" s="14" customFormat="1" ht="12.75">
      <c r="A37" s="29" t="s">
        <v>26</v>
      </c>
      <c r="B37" s="17">
        <f>SUM(B30:B36)</f>
        <v>2.2899999999999996</v>
      </c>
      <c r="C37" s="17">
        <f>SUM(C30:C36)</f>
        <v>0.06</v>
      </c>
      <c r="D37" s="31">
        <f>D30</f>
        <v>3596</v>
      </c>
      <c r="E37" s="208">
        <f>G37/B37*100</f>
        <v>1102948.0349344981</v>
      </c>
      <c r="F37" s="31">
        <f>F30</f>
        <v>76509636</v>
      </c>
      <c r="G37" s="32">
        <f t="shared" ref="G37:P37" si="17">SUM(G30:G36)</f>
        <v>25257.510000000002</v>
      </c>
      <c r="H37" s="32">
        <f t="shared" si="17"/>
        <v>1713516.59</v>
      </c>
      <c r="I37" s="32">
        <f t="shared" si="17"/>
        <v>46096.2</v>
      </c>
      <c r="J37" s="32">
        <f t="shared" si="17"/>
        <v>32670.079999999998</v>
      </c>
      <c r="K37" s="32">
        <f t="shared" si="17"/>
        <v>307.2</v>
      </c>
      <c r="L37" s="32">
        <f t="shared" si="17"/>
        <v>1752507.4200000002</v>
      </c>
      <c r="M37" s="32">
        <f t="shared" si="17"/>
        <v>109366.3</v>
      </c>
      <c r="N37" s="32">
        <f t="shared" si="17"/>
        <v>1643141.1200000003</v>
      </c>
      <c r="O37" s="32">
        <f t="shared" si="17"/>
        <v>0</v>
      </c>
      <c r="P37" s="32">
        <f t="shared" si="17"/>
        <v>0</v>
      </c>
      <c r="Q37" s="73">
        <f>N37-O37-P37</f>
        <v>1643141.1200000003</v>
      </c>
      <c r="T37" s="267">
        <f>SUM(T30:T35)</f>
        <v>1.0000000000000002</v>
      </c>
      <c r="U37" s="153">
        <f>SUM(U30:U35)</f>
        <v>3505489.4953000005</v>
      </c>
      <c r="V37" s="153">
        <f>SUM(V30:V35)</f>
        <v>5148630.6153000006</v>
      </c>
    </row>
    <row r="38" spans="1:22" s="14" customFormat="1" ht="21" customHeight="1">
      <c r="A38" s="16" t="s">
        <v>16</v>
      </c>
      <c r="B38" s="17">
        <f>B37</f>
        <v>2.2899999999999996</v>
      </c>
      <c r="C38" s="17">
        <f>C37</f>
        <v>0.06</v>
      </c>
      <c r="D38" s="13"/>
      <c r="E38" s="223"/>
      <c r="F38" s="65">
        <f>IF(E36&gt;E37,E36-E37,0)</f>
        <v>15855307.965065502</v>
      </c>
      <c r="G38" s="18">
        <f>F38*(B38-C38)/100</f>
        <v>353573.36762096063</v>
      </c>
      <c r="H38" s="18"/>
      <c r="I38" s="18">
        <f>F38*C38/100</f>
        <v>9513.1847790393003</v>
      </c>
      <c r="J38" s="18"/>
      <c r="K38" s="18"/>
      <c r="L38" s="18">
        <f>G38+H38+I38-J38+K38</f>
        <v>363086.55239999993</v>
      </c>
      <c r="M38" s="18"/>
      <c r="N38" s="18">
        <f>L38-M38</f>
        <v>363086.55239999993</v>
      </c>
      <c r="O38" s="18"/>
      <c r="P38" s="18"/>
      <c r="Q38" s="18">
        <f>N38-O38-P38</f>
        <v>363086.55239999993</v>
      </c>
      <c r="T38" s="271"/>
      <c r="U38" s="271"/>
      <c r="V38" s="271"/>
    </row>
    <row r="39" spans="1:22" s="14" customFormat="1" ht="12.75" customHeight="1">
      <c r="A39" s="16" t="s">
        <v>17</v>
      </c>
      <c r="B39" s="17">
        <f>B37</f>
        <v>2.2899999999999996</v>
      </c>
      <c r="C39" s="17">
        <f>C37</f>
        <v>0.06</v>
      </c>
      <c r="D39" s="13"/>
      <c r="E39" s="223"/>
      <c r="F39" s="25">
        <v>72069001</v>
      </c>
      <c r="G39" s="18"/>
      <c r="H39" s="18">
        <f>F39*(B39-C39)/100</f>
        <v>1607138.7222999996</v>
      </c>
      <c r="I39" s="18">
        <f>F39*C39/100</f>
        <v>43241.400599999994</v>
      </c>
      <c r="J39" s="18">
        <v>0</v>
      </c>
      <c r="K39" s="18">
        <v>0</v>
      </c>
      <c r="L39" s="18">
        <f>G39+H39+I39-J39+K39</f>
        <v>1650380.1228999996</v>
      </c>
      <c r="M39" s="18">
        <v>0</v>
      </c>
      <c r="N39" s="18">
        <f>L39-M39</f>
        <v>1650380.1228999996</v>
      </c>
      <c r="O39" s="18">
        <v>0</v>
      </c>
      <c r="P39" s="18">
        <v>0</v>
      </c>
      <c r="Q39" s="18">
        <f>N39-O39-P39</f>
        <v>1650380.1228999996</v>
      </c>
      <c r="T39" s="266" t="s">
        <v>380</v>
      </c>
      <c r="U39" s="271"/>
      <c r="V39" s="271"/>
    </row>
    <row r="40" spans="1:22" s="14" customFormat="1" ht="12.75">
      <c r="A40" s="16" t="s">
        <v>18</v>
      </c>
      <c r="B40" s="17"/>
      <c r="C40" s="17"/>
      <c r="D40" s="13"/>
      <c r="E40" s="223"/>
      <c r="F40" s="13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T40" s="266" t="s">
        <v>381</v>
      </c>
      <c r="U40" s="271"/>
      <c r="V40" s="271"/>
    </row>
    <row r="41" spans="1:22" s="14" customFormat="1" ht="12.75">
      <c r="A41" s="26" t="s">
        <v>19</v>
      </c>
      <c r="B41" s="17">
        <f>B37</f>
        <v>2.2899999999999996</v>
      </c>
      <c r="C41" s="17">
        <f>C37</f>
        <v>0.06</v>
      </c>
      <c r="D41" s="13"/>
      <c r="E41" s="223"/>
      <c r="F41" s="13">
        <v>85884892.950000003</v>
      </c>
      <c r="G41" s="18">
        <v>1413753.45</v>
      </c>
      <c r="H41" s="18">
        <v>1320305.57</v>
      </c>
      <c r="I41" s="18">
        <v>0</v>
      </c>
      <c r="J41" s="18">
        <v>802818.9</v>
      </c>
      <c r="K41" s="18">
        <v>0</v>
      </c>
      <c r="L41" s="18">
        <f>G41+H41+I41-J41+K41</f>
        <v>1931240.12</v>
      </c>
      <c r="M41" s="18">
        <v>29965.41</v>
      </c>
      <c r="N41" s="18">
        <f>L41-M41</f>
        <v>1901274.7100000002</v>
      </c>
      <c r="O41" s="18">
        <v>0</v>
      </c>
      <c r="P41" s="18">
        <v>554343.74</v>
      </c>
      <c r="Q41" s="18">
        <f>N41-O41-P41</f>
        <v>1346930.9700000002</v>
      </c>
      <c r="T41" s="266"/>
      <c r="U41" s="271"/>
      <c r="V41" s="271"/>
    </row>
    <row r="42" spans="1:22" s="14" customFormat="1" ht="12.75">
      <c r="A42" s="26" t="s">
        <v>20</v>
      </c>
      <c r="B42" s="17">
        <f>B37</f>
        <v>2.2899999999999996</v>
      </c>
      <c r="C42" s="17">
        <f>C37</f>
        <v>0.06</v>
      </c>
      <c r="D42" s="13"/>
      <c r="E42" s="223"/>
      <c r="F42" s="13">
        <v>6335888.79</v>
      </c>
      <c r="G42" s="18">
        <v>144932.37</v>
      </c>
      <c r="H42" s="18">
        <v>155.30000000000001</v>
      </c>
      <c r="I42" s="18">
        <v>4.18</v>
      </c>
      <c r="J42" s="18">
        <v>0</v>
      </c>
      <c r="K42" s="18">
        <v>0</v>
      </c>
      <c r="L42" s="18">
        <f>G42+H42+I42-J42+K42</f>
        <v>145091.84999999998</v>
      </c>
      <c r="M42" s="18">
        <v>0</v>
      </c>
      <c r="N42" s="18">
        <f>L42-M42</f>
        <v>145091.84999999998</v>
      </c>
      <c r="O42" s="18">
        <v>0</v>
      </c>
      <c r="P42" s="18">
        <v>0</v>
      </c>
      <c r="Q42" s="18">
        <f>N42-O42-P42</f>
        <v>145091.84999999998</v>
      </c>
      <c r="T42" s="153">
        <f>SUM(Q38:Q39,Q41:Q42)</f>
        <v>3505489.4953000001</v>
      </c>
      <c r="U42" s="271"/>
      <c r="V42" s="271"/>
    </row>
    <row r="43" spans="1:22" s="14" customFormat="1" ht="12.75">
      <c r="A43" s="16"/>
      <c r="B43" s="17"/>
      <c r="C43" s="17"/>
      <c r="D43" s="13"/>
      <c r="E43" s="223"/>
      <c r="F43" s="13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T43" s="266"/>
      <c r="U43" s="271"/>
      <c r="V43" s="271"/>
    </row>
    <row r="44" spans="1:22" s="10" customFormat="1" ht="13.5" thickBot="1">
      <c r="A44" s="21" t="str">
        <f>"TOTAL "&amp;A27</f>
        <v>TOTAL GENERAL COUNTY</v>
      </c>
      <c r="B44" s="27">
        <f>B37</f>
        <v>2.2899999999999996</v>
      </c>
      <c r="C44" s="27">
        <f>C37</f>
        <v>0.06</v>
      </c>
      <c r="D44" s="20">
        <f t="shared" ref="D44:Q44" si="18">SUM(D37:D39,D41:D42)</f>
        <v>3596</v>
      </c>
      <c r="E44" s="224"/>
      <c r="F44" s="20">
        <f t="shared" si="18"/>
        <v>256654726.70506552</v>
      </c>
      <c r="G44" s="28">
        <f t="shared" si="18"/>
        <v>1937516.6976209604</v>
      </c>
      <c r="H44" s="28">
        <f t="shared" si="18"/>
        <v>4641116.1822999995</v>
      </c>
      <c r="I44" s="28">
        <f t="shared" si="18"/>
        <v>98854.965379039291</v>
      </c>
      <c r="J44" s="28">
        <f t="shared" si="18"/>
        <v>835488.98</v>
      </c>
      <c r="K44" s="28">
        <f t="shared" si="18"/>
        <v>307.2</v>
      </c>
      <c r="L44" s="28">
        <f t="shared" si="18"/>
        <v>5842306.0652999999</v>
      </c>
      <c r="M44" s="28">
        <f t="shared" si="18"/>
        <v>139331.71</v>
      </c>
      <c r="N44" s="28">
        <f t="shared" si="18"/>
        <v>5702974.3552999999</v>
      </c>
      <c r="O44" s="28">
        <f t="shared" si="18"/>
        <v>0</v>
      </c>
      <c r="P44" s="28">
        <f t="shared" si="18"/>
        <v>554343.74</v>
      </c>
      <c r="Q44" s="28">
        <f t="shared" si="18"/>
        <v>5148630.6152999997</v>
      </c>
    </row>
    <row r="45" spans="1:22" s="35" customFormat="1" ht="15">
      <c r="A45" s="237" t="s">
        <v>28</v>
      </c>
      <c r="B45" s="33"/>
      <c r="C45" s="33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22" s="35" customFormat="1" ht="15">
      <c r="A46" s="238" t="s">
        <v>29</v>
      </c>
      <c r="B46" s="33"/>
      <c r="C46" s="33"/>
      <c r="D46" s="34"/>
      <c r="E46" s="34"/>
      <c r="F46" s="260">
        <v>509737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22" s="35" customFormat="1" ht="15">
      <c r="A47" s="238" t="s">
        <v>15</v>
      </c>
      <c r="B47" s="33"/>
      <c r="C47" s="33"/>
      <c r="D47" s="34"/>
      <c r="E47" s="34"/>
      <c r="F47" s="261">
        <v>76741958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1:22" s="35" customFormat="1" ht="15">
      <c r="A48" s="238"/>
      <c r="B48" s="33"/>
      <c r="C48" s="33"/>
      <c r="D48" s="34"/>
      <c r="E48" s="34"/>
      <c r="F48" s="260">
        <f>F46+F47</f>
        <v>77251695</v>
      </c>
      <c r="G48" s="34"/>
      <c r="H48" s="464">
        <f>H28-F48</f>
        <v>2116880.5458515435</v>
      </c>
      <c r="I48" s="34"/>
      <c r="J48" s="34"/>
      <c r="K48" s="34"/>
      <c r="L48" s="34"/>
      <c r="M48" s="34"/>
      <c r="N48" s="34"/>
      <c r="O48" s="34"/>
      <c r="P48" s="34"/>
      <c r="Q48" s="34"/>
    </row>
    <row r="49" spans="1:20" s="35" customFormat="1" ht="15">
      <c r="A49" s="238" t="s">
        <v>30</v>
      </c>
      <c r="B49" s="33"/>
      <c r="C49" s="33"/>
      <c r="D49" s="34"/>
      <c r="E49" s="34"/>
      <c r="F49" s="262">
        <f>F37-F48</f>
        <v>-742059</v>
      </c>
      <c r="G49" s="265">
        <f>F49/F48</f>
        <v>-9.6057309810483778E-3</v>
      </c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20" s="38" customFormat="1" ht="15">
      <c r="A50" s="239"/>
      <c r="B50" s="36"/>
      <c r="C50" s="36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20" s="38" customFormat="1" ht="15">
      <c r="A51" s="240" t="s">
        <v>355</v>
      </c>
      <c r="B51" s="36"/>
      <c r="C51" s="36"/>
      <c r="D51" s="39"/>
      <c r="E51" s="39"/>
      <c r="F51" s="263">
        <v>257989996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20" s="38" customFormat="1" ht="15.75">
      <c r="A52" s="241" t="s">
        <v>30</v>
      </c>
      <c r="B52" s="36"/>
      <c r="C52" s="36"/>
      <c r="D52" s="40"/>
      <c r="E52" s="40"/>
      <c r="F52" s="264">
        <f>F44-F51</f>
        <v>-1335269.2949344814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20" s="14" customFormat="1" ht="12.75">
      <c r="A53" s="16"/>
      <c r="B53" s="17"/>
      <c r="C53" s="17"/>
      <c r="D53" s="13"/>
      <c r="E53" s="22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20" s="14" customFormat="1" ht="12.75">
      <c r="A54" s="15" t="s">
        <v>13</v>
      </c>
      <c r="B54" s="11"/>
      <c r="C54" s="11"/>
      <c r="D54" s="12"/>
      <c r="E54" s="222"/>
      <c r="F54" s="12"/>
      <c r="G54" s="24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20" s="14" customFormat="1" ht="12.75">
      <c r="A55" s="16"/>
      <c r="B55" s="17"/>
      <c r="C55" s="17"/>
      <c r="D55" s="13"/>
      <c r="E55" s="65">
        <v>16958256</v>
      </c>
      <c r="F55" s="13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20" s="14" customFormat="1" ht="12.75">
      <c r="A56" s="14" t="s">
        <v>15</v>
      </c>
      <c r="B56" s="17">
        <v>0.75</v>
      </c>
      <c r="C56" s="17">
        <v>0</v>
      </c>
      <c r="D56" s="13">
        <v>3596</v>
      </c>
      <c r="E56" s="173">
        <f>G56/B56*100</f>
        <v>1102962.6666666665</v>
      </c>
      <c r="F56" s="13">
        <v>76509636</v>
      </c>
      <c r="G56" s="18">
        <v>8272.2199999999993</v>
      </c>
      <c r="H56" s="18">
        <v>576302.77</v>
      </c>
      <c r="I56" s="18">
        <v>0</v>
      </c>
      <c r="J56" s="18">
        <v>10699.64</v>
      </c>
      <c r="K56" s="18">
        <v>100.63</v>
      </c>
      <c r="L56" s="18">
        <f t="shared" ref="L56:L61" si="19">G56+H56+I56-J56+K56</f>
        <v>573975.98</v>
      </c>
      <c r="M56" s="18">
        <v>36782.57</v>
      </c>
      <c r="N56" s="18">
        <f>L56-M56</f>
        <v>537193.41</v>
      </c>
      <c r="O56" s="18">
        <v>0</v>
      </c>
      <c r="P56" s="18">
        <v>0</v>
      </c>
      <c r="Q56" s="18">
        <f>N56-O56-P56</f>
        <v>537193.41</v>
      </c>
    </row>
    <row r="57" spans="1:20" s="14" customFormat="1" ht="12.75">
      <c r="A57" s="16" t="s">
        <v>16</v>
      </c>
      <c r="B57" s="17">
        <f>B56</f>
        <v>0.75</v>
      </c>
      <c r="C57" s="17">
        <f>C56</f>
        <v>0</v>
      </c>
      <c r="D57" s="13"/>
      <c r="E57" s="223"/>
      <c r="F57" s="65">
        <f>IF(E55&gt;E56,E55-E56,0)</f>
        <v>15855293.333333334</v>
      </c>
      <c r="G57" s="18">
        <f>F57*(B57-C57)/100</f>
        <v>118914.7</v>
      </c>
      <c r="H57" s="18"/>
      <c r="I57" s="18">
        <f>F57*C57/100</f>
        <v>0</v>
      </c>
      <c r="J57" s="18"/>
      <c r="K57" s="18"/>
      <c r="L57" s="18">
        <f t="shared" si="19"/>
        <v>118914.7</v>
      </c>
      <c r="M57" s="18"/>
      <c r="N57" s="18">
        <f>L57-M57</f>
        <v>118914.7</v>
      </c>
      <c r="O57" s="18"/>
      <c r="P57" s="18"/>
      <c r="Q57" s="18">
        <f>N57-O57-P57</f>
        <v>118914.7</v>
      </c>
    </row>
    <row r="58" spans="1:20" s="14" customFormat="1" ht="12.75">
      <c r="A58" s="16" t="s">
        <v>17</v>
      </c>
      <c r="B58" s="17">
        <f>B56</f>
        <v>0.75</v>
      </c>
      <c r="C58" s="17">
        <f>C56</f>
        <v>0</v>
      </c>
      <c r="D58" s="13"/>
      <c r="E58" s="223"/>
      <c r="F58" s="25">
        <v>72069001</v>
      </c>
      <c r="G58" s="18"/>
      <c r="H58" s="18">
        <f>F58*(B58-C58)/100</f>
        <v>540517.50749999995</v>
      </c>
      <c r="I58" s="18">
        <f>F58*C58/100</f>
        <v>0</v>
      </c>
      <c r="J58" s="18">
        <v>0</v>
      </c>
      <c r="K58" s="18">
        <v>0</v>
      </c>
      <c r="L58" s="18">
        <f t="shared" si="19"/>
        <v>540517.50749999995</v>
      </c>
      <c r="M58" s="18">
        <v>0</v>
      </c>
      <c r="N58" s="18">
        <f>L58-M58</f>
        <v>540517.50749999995</v>
      </c>
      <c r="O58" s="18">
        <v>0</v>
      </c>
      <c r="P58" s="18">
        <v>0</v>
      </c>
      <c r="Q58" s="18">
        <f>N58-O58-P58</f>
        <v>540517.50749999995</v>
      </c>
    </row>
    <row r="59" spans="1:20" s="14" customFormat="1" ht="12.75">
      <c r="A59" s="16" t="s">
        <v>18</v>
      </c>
      <c r="B59" s="17"/>
      <c r="C59" s="17"/>
      <c r="D59" s="13"/>
      <c r="E59" s="223"/>
      <c r="F59" s="13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20" s="14" customFormat="1" ht="12.75">
      <c r="A60" s="26" t="s">
        <v>19</v>
      </c>
      <c r="B60" s="17">
        <f>B56</f>
        <v>0.75</v>
      </c>
      <c r="C60" s="17">
        <f>C56</f>
        <v>0</v>
      </c>
      <c r="D60" s="13"/>
      <c r="E60" s="223"/>
      <c r="F60" s="13">
        <v>85884892.950000003</v>
      </c>
      <c r="G60" s="18">
        <f>617359.6*S63</f>
        <v>463019.69999999995</v>
      </c>
      <c r="H60" s="18">
        <f>592065.29*S63</f>
        <v>444048.96750000003</v>
      </c>
      <c r="I60" s="18">
        <v>0</v>
      </c>
      <c r="J60" s="18">
        <f>350575.95*S63</f>
        <v>262931.96250000002</v>
      </c>
      <c r="K60" s="18">
        <v>0</v>
      </c>
      <c r="L60" s="18">
        <f t="shared" si="19"/>
        <v>644136.70499999996</v>
      </c>
      <c r="M60" s="18">
        <f>13437.41*S63</f>
        <v>10078.057499999999</v>
      </c>
      <c r="N60" s="18">
        <f>L60-M60</f>
        <v>634058.64749999996</v>
      </c>
      <c r="O60" s="18">
        <v>0</v>
      </c>
      <c r="P60" s="18">
        <f>242071.5*S63</f>
        <v>181553.625</v>
      </c>
      <c r="Q60" s="18">
        <f>N60-O60-P60</f>
        <v>452505.02249999996</v>
      </c>
      <c r="S60" s="381">
        <f>Q61-G61</f>
        <v>52.230000000003201</v>
      </c>
    </row>
    <row r="61" spans="1:20" s="14" customFormat="1" ht="12.75">
      <c r="A61" s="26" t="s">
        <v>20</v>
      </c>
      <c r="B61" s="17">
        <f>B56</f>
        <v>0.75</v>
      </c>
      <c r="C61" s="17">
        <f>C56</f>
        <v>0</v>
      </c>
      <c r="D61" s="13"/>
      <c r="E61" s="223"/>
      <c r="F61" s="13">
        <v>6335888.79</v>
      </c>
      <c r="G61" s="18">
        <f>63289.25*S63</f>
        <v>47466.9375</v>
      </c>
      <c r="H61" s="18">
        <f>69.64*S63</f>
        <v>52.230000000000004</v>
      </c>
      <c r="I61" s="18">
        <v>0</v>
      </c>
      <c r="J61" s="18">
        <v>0</v>
      </c>
      <c r="K61" s="18">
        <v>0</v>
      </c>
      <c r="L61" s="18">
        <f t="shared" si="19"/>
        <v>47519.167500000003</v>
      </c>
      <c r="M61" s="18">
        <v>0</v>
      </c>
      <c r="N61" s="18">
        <f>L61-M61</f>
        <v>47519.167500000003</v>
      </c>
      <c r="O61" s="18">
        <v>0</v>
      </c>
      <c r="P61" s="18">
        <v>0</v>
      </c>
      <c r="Q61" s="18">
        <f>N61-O61-P61</f>
        <v>47519.167500000003</v>
      </c>
      <c r="S61" s="381">
        <f>G61</f>
        <v>47466.9375</v>
      </c>
      <c r="T61" s="18">
        <f>+Q61+Q73</f>
        <v>63358.89</v>
      </c>
    </row>
    <row r="62" spans="1:20" s="14" customFormat="1" ht="12.75">
      <c r="A62" s="16"/>
      <c r="B62" s="17"/>
      <c r="C62" s="17"/>
      <c r="D62" s="13"/>
      <c r="E62" s="223"/>
      <c r="F62" s="13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20" s="10" customFormat="1" ht="12.75">
      <c r="A63" s="19" t="s">
        <v>31</v>
      </c>
      <c r="B63" s="11">
        <f>B56</f>
        <v>0.75</v>
      </c>
      <c r="C63" s="11">
        <f>C56</f>
        <v>0</v>
      </c>
      <c r="D63" s="41">
        <f t="shared" ref="D63:Q63" si="20">SUM(D56:D58,D60:D61)</f>
        <v>3596</v>
      </c>
      <c r="E63" s="226"/>
      <c r="F63" s="41">
        <f t="shared" si="20"/>
        <v>256654712.07333329</v>
      </c>
      <c r="G63" s="42">
        <f t="shared" si="20"/>
        <v>637673.5575</v>
      </c>
      <c r="H63" s="42">
        <f t="shared" si="20"/>
        <v>1560921.4749999999</v>
      </c>
      <c r="I63" s="42">
        <f t="shared" si="20"/>
        <v>0</v>
      </c>
      <c r="J63" s="42">
        <f t="shared" si="20"/>
        <v>273631.60250000004</v>
      </c>
      <c r="K63" s="42">
        <f t="shared" si="20"/>
        <v>100.63</v>
      </c>
      <c r="L63" s="42">
        <f t="shared" si="20"/>
        <v>1925064.06</v>
      </c>
      <c r="M63" s="42">
        <f t="shared" si="20"/>
        <v>46860.627500000002</v>
      </c>
      <c r="N63" s="42">
        <f t="shared" si="20"/>
        <v>1878203.4324999999</v>
      </c>
      <c r="O63" s="42">
        <f t="shared" si="20"/>
        <v>0</v>
      </c>
      <c r="P63" s="42">
        <f t="shared" si="20"/>
        <v>181553.625</v>
      </c>
      <c r="Q63" s="42">
        <f t="shared" si="20"/>
        <v>1696649.8074999999</v>
      </c>
      <c r="S63" s="187">
        <f>B63/B77</f>
        <v>0.75</v>
      </c>
    </row>
    <row r="64" spans="1:20" s="14" customFormat="1" ht="12.75">
      <c r="A64" s="16"/>
      <c r="B64" s="17"/>
      <c r="C64" s="17"/>
      <c r="D64" s="13"/>
      <c r="E64" s="223"/>
      <c r="F64" s="13"/>
      <c r="G64" s="13"/>
      <c r="H64" s="13"/>
      <c r="I64" s="13"/>
      <c r="J64" s="13"/>
      <c r="K64" s="13"/>
      <c r="L64" s="505" t="s">
        <v>388</v>
      </c>
      <c r="M64" s="506">
        <f>M63/L63</f>
        <v>2.4342373053289457E-2</v>
      </c>
      <c r="N64" s="13"/>
      <c r="O64" s="13"/>
      <c r="P64" s="13"/>
      <c r="Q64" s="13"/>
    </row>
    <row r="65" spans="1:19" s="14" customFormat="1" ht="12.75">
      <c r="A65" s="16"/>
      <c r="B65" s="17"/>
      <c r="C65" s="17"/>
      <c r="D65" s="13"/>
      <c r="E65" s="223"/>
      <c r="F65" s="13"/>
      <c r="G65" s="81">
        <f>G60+G72</f>
        <v>617359.6</v>
      </c>
      <c r="H65" s="81">
        <f t="shared" ref="H65:Q66" si="21">H60+H72</f>
        <v>592065.29</v>
      </c>
      <c r="I65" s="81">
        <f t="shared" si="21"/>
        <v>0</v>
      </c>
      <c r="J65" s="81">
        <f t="shared" si="21"/>
        <v>350575.95</v>
      </c>
      <c r="K65" s="81">
        <f t="shared" si="21"/>
        <v>0</v>
      </c>
      <c r="L65" s="81">
        <f t="shared" si="21"/>
        <v>858848.94</v>
      </c>
      <c r="M65" s="81">
        <f t="shared" si="21"/>
        <v>13437.41</v>
      </c>
      <c r="N65" s="81">
        <f t="shared" si="21"/>
        <v>845411.53</v>
      </c>
      <c r="O65" s="81">
        <f t="shared" si="21"/>
        <v>0</v>
      </c>
      <c r="P65" s="81">
        <f t="shared" si="21"/>
        <v>242071.5</v>
      </c>
      <c r="Q65" s="81">
        <f t="shared" si="21"/>
        <v>603340.03</v>
      </c>
    </row>
    <row r="66" spans="1:19" s="14" customFormat="1" ht="12.75">
      <c r="A66" s="15" t="s">
        <v>32</v>
      </c>
      <c r="B66" s="17"/>
      <c r="C66" s="17"/>
      <c r="D66" s="13"/>
      <c r="E66" s="223"/>
      <c r="F66" s="24"/>
      <c r="G66" s="81">
        <f>G61+G73</f>
        <v>63289.25</v>
      </c>
      <c r="H66" s="81">
        <f t="shared" si="21"/>
        <v>69.64</v>
      </c>
      <c r="I66" s="81">
        <f t="shared" si="21"/>
        <v>0</v>
      </c>
      <c r="J66" s="81">
        <f t="shared" si="21"/>
        <v>0</v>
      </c>
      <c r="K66" s="81">
        <f t="shared" si="21"/>
        <v>0</v>
      </c>
      <c r="L66" s="81">
        <f t="shared" si="21"/>
        <v>63358.89</v>
      </c>
      <c r="M66" s="81">
        <f t="shared" si="21"/>
        <v>0</v>
      </c>
      <c r="N66" s="81">
        <f t="shared" si="21"/>
        <v>63358.89</v>
      </c>
      <c r="O66" s="81">
        <f t="shared" si="21"/>
        <v>0</v>
      </c>
      <c r="P66" s="81">
        <f t="shared" si="21"/>
        <v>0</v>
      </c>
      <c r="Q66" s="81">
        <f t="shared" si="21"/>
        <v>63358.89</v>
      </c>
      <c r="S66" s="18"/>
    </row>
    <row r="67" spans="1:19" s="14" customFormat="1" ht="12.75">
      <c r="A67" s="16"/>
      <c r="B67" s="17"/>
      <c r="C67" s="17"/>
      <c r="D67" s="13"/>
      <c r="E67" s="65">
        <v>16958256</v>
      </c>
      <c r="F67" s="13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9" s="14" customFormat="1" ht="12.75">
      <c r="A68" s="14" t="s">
        <v>15</v>
      </c>
      <c r="B68" s="17">
        <v>0.25</v>
      </c>
      <c r="C68" s="17">
        <v>0</v>
      </c>
      <c r="D68" s="13">
        <v>3596</v>
      </c>
      <c r="E68" s="173">
        <f>G68/B68*100</f>
        <v>1102980</v>
      </c>
      <c r="F68" s="13">
        <v>76509636</v>
      </c>
      <c r="G68" s="18">
        <v>2757.45</v>
      </c>
      <c r="H68" s="18">
        <v>192103.51</v>
      </c>
      <c r="I68" s="18">
        <v>0</v>
      </c>
      <c r="J68" s="18">
        <v>3566.39</v>
      </c>
      <c r="K68" s="18">
        <v>33.549999999999997</v>
      </c>
      <c r="L68" s="18">
        <f>G68+H68+I68-J68+K68</f>
        <v>191328.12</v>
      </c>
      <c r="M68" s="18">
        <v>12260.77</v>
      </c>
      <c r="N68" s="18">
        <f>L68-M68</f>
        <v>179067.35</v>
      </c>
      <c r="O68" s="18">
        <v>0</v>
      </c>
      <c r="P68" s="18">
        <v>0</v>
      </c>
      <c r="Q68" s="18">
        <f>N68-O68-P68</f>
        <v>179067.35</v>
      </c>
    </row>
    <row r="69" spans="1:19" s="14" customFormat="1" ht="12.75">
      <c r="A69" s="16" t="s">
        <v>16</v>
      </c>
      <c r="B69" s="17">
        <f>B68</f>
        <v>0.25</v>
      </c>
      <c r="C69" s="17">
        <f>C68</f>
        <v>0</v>
      </c>
      <c r="D69" s="13"/>
      <c r="E69" s="223"/>
      <c r="F69" s="65">
        <f>IF(E67&gt;E68,E67-E68,0)</f>
        <v>15855276</v>
      </c>
      <c r="G69" s="18">
        <f>F69*(B69-C69)/100</f>
        <v>39638.19</v>
      </c>
      <c r="H69" s="18"/>
      <c r="I69" s="18">
        <f>F69*C69/100</f>
        <v>0</v>
      </c>
      <c r="J69" s="18"/>
      <c r="K69" s="18"/>
      <c r="L69" s="18">
        <f>G69+H69+I69-J69+K69</f>
        <v>39638.19</v>
      </c>
      <c r="M69" s="18"/>
      <c r="N69" s="18">
        <f>L69-M69</f>
        <v>39638.19</v>
      </c>
      <c r="O69" s="18"/>
      <c r="P69" s="18"/>
      <c r="Q69" s="18">
        <f>N69-O69-P69</f>
        <v>39638.19</v>
      </c>
    </row>
    <row r="70" spans="1:19" s="14" customFormat="1" ht="12.75">
      <c r="A70" s="16" t="s">
        <v>17</v>
      </c>
      <c r="B70" s="17">
        <f>B68</f>
        <v>0.25</v>
      </c>
      <c r="C70" s="17">
        <f>C68</f>
        <v>0</v>
      </c>
      <c r="D70" s="13"/>
      <c r="E70" s="223"/>
      <c r="F70" s="25">
        <v>72069001</v>
      </c>
      <c r="G70" s="18"/>
      <c r="H70" s="18">
        <f>F70*(B70-C70)/100</f>
        <v>180172.5025</v>
      </c>
      <c r="I70" s="18">
        <f>F70*C70/100</f>
        <v>0</v>
      </c>
      <c r="J70" s="18">
        <v>0</v>
      </c>
      <c r="K70" s="18">
        <v>0</v>
      </c>
      <c r="L70" s="18">
        <f>G70+H70+I70-J70+K70</f>
        <v>180172.5025</v>
      </c>
      <c r="M70" s="18">
        <v>0</v>
      </c>
      <c r="N70" s="18">
        <f>L70-M70</f>
        <v>180172.5025</v>
      </c>
      <c r="O70" s="18">
        <v>0</v>
      </c>
      <c r="P70" s="18">
        <v>0</v>
      </c>
      <c r="Q70" s="18">
        <f>N70-O70-P70</f>
        <v>180172.5025</v>
      </c>
    </row>
    <row r="71" spans="1:19" s="14" customFormat="1" ht="12.75">
      <c r="A71" s="16" t="s">
        <v>18</v>
      </c>
      <c r="B71" s="17"/>
      <c r="C71" s="17"/>
      <c r="D71" s="13"/>
      <c r="E71" s="223"/>
      <c r="F71" s="13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9" s="14" customFormat="1" ht="12.75">
      <c r="A72" s="26" t="s">
        <v>19</v>
      </c>
      <c r="B72" s="17">
        <f>B68</f>
        <v>0.25</v>
      </c>
      <c r="C72" s="17">
        <f>C68</f>
        <v>0</v>
      </c>
      <c r="D72" s="13"/>
      <c r="E72" s="223"/>
      <c r="F72" s="13">
        <v>85884892.950000003</v>
      </c>
      <c r="G72" s="18">
        <f>617359.6*S75</f>
        <v>154339.9</v>
      </c>
      <c r="H72" s="18">
        <f>592065.29*S75</f>
        <v>148016.32250000001</v>
      </c>
      <c r="I72" s="18">
        <v>0</v>
      </c>
      <c r="J72" s="18">
        <f>350575.95*S75</f>
        <v>87643.987500000003</v>
      </c>
      <c r="K72" s="18">
        <v>0</v>
      </c>
      <c r="L72" s="18">
        <f t="shared" ref="L72" si="22">G72+H72+I72-J72+K72</f>
        <v>214712.23500000004</v>
      </c>
      <c r="M72" s="18">
        <f>13437.41*S75</f>
        <v>3359.3525</v>
      </c>
      <c r="N72" s="18">
        <f>L72-M72</f>
        <v>211352.88250000004</v>
      </c>
      <c r="O72" s="18">
        <v>0</v>
      </c>
      <c r="P72" s="18">
        <f>242071.5*S75</f>
        <v>60517.875</v>
      </c>
      <c r="Q72" s="18">
        <f>N72-O72-P72</f>
        <v>150835.00750000004</v>
      </c>
      <c r="S72" s="381">
        <f>+Q72+Q60</f>
        <v>603340.03</v>
      </c>
    </row>
    <row r="73" spans="1:19" s="14" customFormat="1" ht="12.75">
      <c r="A73" s="26" t="s">
        <v>20</v>
      </c>
      <c r="B73" s="17">
        <f>B68</f>
        <v>0.25</v>
      </c>
      <c r="C73" s="17">
        <f>C68</f>
        <v>0</v>
      </c>
      <c r="D73" s="13"/>
      <c r="E73" s="223"/>
      <c r="F73" s="13">
        <v>6335888.79</v>
      </c>
      <c r="G73" s="18">
        <f>63289.25*S75</f>
        <v>15822.3125</v>
      </c>
      <c r="H73" s="18">
        <f>69.64*S75</f>
        <v>17.41</v>
      </c>
      <c r="I73" s="18">
        <v>0</v>
      </c>
      <c r="J73" s="18">
        <v>0</v>
      </c>
      <c r="K73" s="18">
        <v>0</v>
      </c>
      <c r="L73" s="18">
        <f t="shared" ref="L73" si="23">G73+H73+I73-J73+K73</f>
        <v>15839.7225</v>
      </c>
      <c r="M73" s="18">
        <v>0</v>
      </c>
      <c r="N73" s="18">
        <f>L73-M73</f>
        <v>15839.7225</v>
      </c>
      <c r="O73" s="18">
        <v>0</v>
      </c>
      <c r="P73" s="18">
        <v>0</v>
      </c>
      <c r="Q73" s="18">
        <f>N73-O73-P73</f>
        <v>15839.7225</v>
      </c>
    </row>
    <row r="74" spans="1:19" s="14" customFormat="1" ht="12.75">
      <c r="A74" s="16"/>
      <c r="B74" s="17"/>
      <c r="C74" s="17"/>
      <c r="D74" s="13"/>
      <c r="E74" s="223"/>
      <c r="F74" s="13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1:19" s="10" customFormat="1" ht="12.75">
      <c r="A75" s="19" t="str">
        <f>"TOTAL "&amp;A66</f>
        <v>TOTAL SCHOOL DEBT</v>
      </c>
      <c r="B75" s="11">
        <f>B68</f>
        <v>0.25</v>
      </c>
      <c r="C75" s="11">
        <f>C68</f>
        <v>0</v>
      </c>
      <c r="D75" s="41">
        <f t="shared" ref="D75:Q75" si="24">SUM(D68:D70,D72:D73)</f>
        <v>3596</v>
      </c>
      <c r="E75" s="226"/>
      <c r="F75" s="41">
        <f>SUM(F68:F69,F72:F73)</f>
        <v>184585693.73999998</v>
      </c>
      <c r="G75" s="42">
        <f t="shared" si="24"/>
        <v>212557.85249999998</v>
      </c>
      <c r="H75" s="42">
        <f t="shared" si="24"/>
        <v>520309.745</v>
      </c>
      <c r="I75" s="42">
        <f t="shared" si="24"/>
        <v>0</v>
      </c>
      <c r="J75" s="42">
        <f t="shared" si="24"/>
        <v>91210.377500000002</v>
      </c>
      <c r="K75" s="42">
        <f t="shared" si="24"/>
        <v>33.549999999999997</v>
      </c>
      <c r="L75" s="42">
        <f t="shared" si="24"/>
        <v>641690.77000000014</v>
      </c>
      <c r="M75" s="42">
        <f t="shared" si="24"/>
        <v>15620.122500000001</v>
      </c>
      <c r="N75" s="42">
        <f t="shared" si="24"/>
        <v>626070.64750000008</v>
      </c>
      <c r="O75" s="42">
        <f t="shared" si="24"/>
        <v>0</v>
      </c>
      <c r="P75" s="42">
        <f t="shared" si="24"/>
        <v>60517.875</v>
      </c>
      <c r="Q75" s="42">
        <f t="shared" si="24"/>
        <v>565552.77250000008</v>
      </c>
      <c r="S75" s="187">
        <f>B75/B77</f>
        <v>0.25</v>
      </c>
    </row>
    <row r="76" spans="1:19" s="14" customFormat="1" ht="12.75">
      <c r="A76" s="16"/>
      <c r="B76" s="17"/>
      <c r="C76" s="17"/>
      <c r="D76" s="13"/>
      <c r="E76" s="223"/>
      <c r="F76" s="13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9" s="10" customFormat="1" ht="13.5" thickBot="1">
      <c r="A77" s="21" t="str">
        <f>"TOTAL "&amp;A54</f>
        <v>TOTAL SCHOOL DISTRICT</v>
      </c>
      <c r="B77" s="27">
        <f>B63+B75</f>
        <v>1</v>
      </c>
      <c r="C77" s="27">
        <f>C63+C75</f>
        <v>0</v>
      </c>
      <c r="D77" s="20">
        <f>D63</f>
        <v>3596</v>
      </c>
      <c r="E77" s="224"/>
      <c r="F77" s="20">
        <f>F63</f>
        <v>256654712.07333329</v>
      </c>
      <c r="G77" s="28">
        <f t="shared" ref="G77:Q77" si="25">G63+G75</f>
        <v>850231.40999999992</v>
      </c>
      <c r="H77" s="28">
        <f t="shared" si="25"/>
        <v>2081231.2199999997</v>
      </c>
      <c r="I77" s="28">
        <f t="shared" si="25"/>
        <v>0</v>
      </c>
      <c r="J77" s="28">
        <f t="shared" si="25"/>
        <v>364841.98000000004</v>
      </c>
      <c r="K77" s="28">
        <f t="shared" si="25"/>
        <v>134.18</v>
      </c>
      <c r="L77" s="28">
        <f t="shared" si="25"/>
        <v>2566754.83</v>
      </c>
      <c r="M77" s="28">
        <f t="shared" si="25"/>
        <v>62480.75</v>
      </c>
      <c r="N77" s="28">
        <f t="shared" si="25"/>
        <v>2504274.08</v>
      </c>
      <c r="O77" s="28">
        <f t="shared" si="25"/>
        <v>0</v>
      </c>
      <c r="P77" s="28">
        <f t="shared" si="25"/>
        <v>242071.5</v>
      </c>
      <c r="Q77" s="28">
        <f t="shared" si="25"/>
        <v>2262202.58</v>
      </c>
    </row>
    <row r="78" spans="1:19" s="49" customFormat="1" ht="12.75">
      <c r="A78" s="150" t="s">
        <v>355</v>
      </c>
      <c r="B78" s="48"/>
      <c r="C78" s="48"/>
      <c r="D78" s="43"/>
      <c r="E78" s="173"/>
      <c r="F78" s="64">
        <v>257989996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19" s="49" customFormat="1" ht="12.75">
      <c r="A79" s="151" t="s">
        <v>30</v>
      </c>
      <c r="B79" s="51"/>
      <c r="C79" s="51"/>
      <c r="D79" s="52"/>
      <c r="E79" s="203"/>
      <c r="F79" s="152">
        <f>F77-F78</f>
        <v>-1335283.9266667068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9" s="14" customFormat="1" ht="12.75">
      <c r="A80" s="15" t="s">
        <v>193</v>
      </c>
      <c r="B80" s="17"/>
      <c r="C80" s="17"/>
      <c r="D80" s="13"/>
      <c r="E80" s="223"/>
      <c r="F80" s="13"/>
      <c r="G80" s="24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s="14" customFormat="1" ht="12.75">
      <c r="A81" s="10"/>
      <c r="B81" s="11"/>
      <c r="C81" s="11"/>
      <c r="D81" s="12"/>
      <c r="E81" s="65">
        <v>16958256</v>
      </c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s="14" customFormat="1" ht="12.75">
      <c r="A82" s="14" t="s">
        <v>15</v>
      </c>
      <c r="B82" s="17">
        <v>0.2</v>
      </c>
      <c r="C82" s="17">
        <v>0</v>
      </c>
      <c r="D82" s="13">
        <v>3596</v>
      </c>
      <c r="E82" s="173">
        <f>G82/B82*100</f>
        <v>1102970</v>
      </c>
      <c r="F82" s="13">
        <v>76509636</v>
      </c>
      <c r="G82" s="18">
        <v>2205.94</v>
      </c>
      <c r="H82" s="18">
        <v>153679.99</v>
      </c>
      <c r="I82" s="18">
        <v>0</v>
      </c>
      <c r="J82" s="18">
        <v>2853.32</v>
      </c>
      <c r="K82" s="18">
        <v>26.84</v>
      </c>
      <c r="L82" s="18">
        <f>G82+H82+I82-J82+K82</f>
        <v>153059.44999999998</v>
      </c>
      <c r="M82" s="18">
        <v>9808.8799999999992</v>
      </c>
      <c r="N82" s="18">
        <f>L82-M82</f>
        <v>143250.56999999998</v>
      </c>
      <c r="O82" s="18">
        <v>0</v>
      </c>
      <c r="P82" s="18">
        <v>0</v>
      </c>
      <c r="Q82" s="18">
        <f>N82-O82-P82</f>
        <v>143250.56999999998</v>
      </c>
    </row>
    <row r="83" spans="1:17" s="14" customFormat="1" ht="12.75">
      <c r="A83" s="16" t="s">
        <v>16</v>
      </c>
      <c r="B83" s="17">
        <f>B82</f>
        <v>0.2</v>
      </c>
      <c r="C83" s="17">
        <f>C82</f>
        <v>0</v>
      </c>
      <c r="D83" s="13"/>
      <c r="E83" s="223"/>
      <c r="F83" s="65">
        <f>IF(E81&gt;E82,E81-E82,0)</f>
        <v>15855286</v>
      </c>
      <c r="G83" s="18">
        <f>F83*(B83-C83)/100</f>
        <v>31710.572</v>
      </c>
      <c r="H83" s="18"/>
      <c r="I83" s="18">
        <f>F83*C83/100</f>
        <v>0</v>
      </c>
      <c r="J83" s="18"/>
      <c r="K83" s="18"/>
      <c r="L83" s="18">
        <f>G83+H83+I83-J83+K83</f>
        <v>31710.572</v>
      </c>
      <c r="M83" s="18"/>
      <c r="N83" s="18">
        <f>L83-M83</f>
        <v>31710.572</v>
      </c>
      <c r="O83" s="18"/>
      <c r="P83" s="18"/>
      <c r="Q83" s="18">
        <f>N83-O83-P83</f>
        <v>31710.572</v>
      </c>
    </row>
    <row r="84" spans="1:17" s="14" customFormat="1" ht="12.75">
      <c r="A84" s="16" t="s">
        <v>17</v>
      </c>
      <c r="B84" s="17">
        <f>B82</f>
        <v>0.2</v>
      </c>
      <c r="C84" s="17">
        <f>C82</f>
        <v>0</v>
      </c>
      <c r="D84" s="13"/>
      <c r="E84" s="223"/>
      <c r="F84" s="25">
        <v>72069001</v>
      </c>
      <c r="G84" s="18"/>
      <c r="H84" s="18">
        <f>F84*(B84-C84)/100</f>
        <v>144138.00200000001</v>
      </c>
      <c r="I84" s="18">
        <f>F84*C84/100</f>
        <v>0</v>
      </c>
      <c r="J84" s="18">
        <v>0</v>
      </c>
      <c r="K84" s="18">
        <v>0</v>
      </c>
      <c r="L84" s="18">
        <f>G84+H84+I84-J84+K84</f>
        <v>144138.00200000001</v>
      </c>
      <c r="M84" s="18">
        <v>0</v>
      </c>
      <c r="N84" s="18">
        <f>L84-M84</f>
        <v>144138.00200000001</v>
      </c>
      <c r="O84" s="18">
        <v>0</v>
      </c>
      <c r="P84" s="18">
        <v>0</v>
      </c>
      <c r="Q84" s="18">
        <f>N84-O84-P84</f>
        <v>144138.00200000001</v>
      </c>
    </row>
    <row r="85" spans="1:17" s="14" customFormat="1" ht="12.75">
      <c r="A85" s="16" t="s">
        <v>18</v>
      </c>
      <c r="B85" s="17"/>
      <c r="C85" s="17"/>
      <c r="D85" s="13"/>
      <c r="E85" s="223"/>
      <c r="F85" s="13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s="14" customFormat="1" ht="12.75">
      <c r="A86" s="26" t="s">
        <v>19</v>
      </c>
      <c r="B86" s="17">
        <f>B82</f>
        <v>0.2</v>
      </c>
      <c r="C86" s="17">
        <f>C82</f>
        <v>0</v>
      </c>
      <c r="D86" s="13"/>
      <c r="E86" s="223"/>
      <c r="F86" s="13">
        <v>120872372.18000001</v>
      </c>
      <c r="G86" s="18">
        <v>123471.89</v>
      </c>
      <c r="H86" s="18">
        <v>118413.05</v>
      </c>
      <c r="I86" s="18">
        <v>0</v>
      </c>
      <c r="J86" s="18">
        <v>70115.179999999993</v>
      </c>
      <c r="K86" s="18">
        <v>0</v>
      </c>
      <c r="L86" s="18">
        <f>G86+H86+I86-J86+K86</f>
        <v>171769.76</v>
      </c>
      <c r="M86" s="18">
        <v>2687.48</v>
      </c>
      <c r="N86" s="18">
        <f>L86-M86</f>
        <v>169082.28</v>
      </c>
      <c r="O86" s="18">
        <v>0</v>
      </c>
      <c r="P86" s="18">
        <v>48414.3</v>
      </c>
      <c r="Q86" s="18">
        <f>N86-O86-P86</f>
        <v>120667.98</v>
      </c>
    </row>
    <row r="87" spans="1:17" s="14" customFormat="1" ht="12.75">
      <c r="A87" s="26" t="s">
        <v>20</v>
      </c>
      <c r="B87" s="17">
        <f>B82</f>
        <v>0.2</v>
      </c>
      <c r="C87" s="17">
        <f>C82</f>
        <v>0</v>
      </c>
      <c r="D87" s="13"/>
      <c r="E87" s="223"/>
      <c r="F87" s="13">
        <v>6335888.79</v>
      </c>
      <c r="G87" s="18">
        <v>12657.82</v>
      </c>
      <c r="H87" s="18">
        <v>13.93</v>
      </c>
      <c r="I87" s="18">
        <v>0</v>
      </c>
      <c r="J87" s="18">
        <v>0</v>
      </c>
      <c r="K87" s="18">
        <v>0</v>
      </c>
      <c r="L87" s="18">
        <f>G87+H87+I87-J87+K87</f>
        <v>12671.75</v>
      </c>
      <c r="M87" s="18">
        <v>0</v>
      </c>
      <c r="N87" s="18">
        <f>L87-M87</f>
        <v>12671.75</v>
      </c>
      <c r="O87" s="18">
        <v>0</v>
      </c>
      <c r="P87" s="18">
        <v>0</v>
      </c>
      <c r="Q87" s="18">
        <f>N87-O87-P87</f>
        <v>12671.75</v>
      </c>
    </row>
    <row r="88" spans="1:17" s="14" customFormat="1" ht="12.75">
      <c r="A88" s="16"/>
      <c r="B88" s="17"/>
      <c r="C88" s="17"/>
      <c r="D88" s="13"/>
      <c r="E88" s="223"/>
      <c r="F88" s="13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 s="10" customFormat="1" ht="13.5" thickBot="1">
      <c r="A89" s="21" t="str">
        <f>"TOTAL "&amp;A80</f>
        <v>TOTAL MINERAL COUNTY HOSPITAL DISTRICT</v>
      </c>
      <c r="B89" s="27">
        <f>B82</f>
        <v>0.2</v>
      </c>
      <c r="C89" s="27">
        <f>C82</f>
        <v>0</v>
      </c>
      <c r="D89" s="20">
        <f t="shared" ref="D89:Q89" si="26">SUM(D82:D84,D86:D87)</f>
        <v>3596</v>
      </c>
      <c r="E89" s="224"/>
      <c r="F89" s="20">
        <f t="shared" si="26"/>
        <v>291642183.97000003</v>
      </c>
      <c r="G89" s="28">
        <f t="shared" si="26"/>
        <v>170046.22200000001</v>
      </c>
      <c r="H89" s="28">
        <f t="shared" si="26"/>
        <v>416244.97199999995</v>
      </c>
      <c r="I89" s="28">
        <f t="shared" si="26"/>
        <v>0</v>
      </c>
      <c r="J89" s="28">
        <f t="shared" si="26"/>
        <v>72968.5</v>
      </c>
      <c r="K89" s="28">
        <f t="shared" si="26"/>
        <v>26.84</v>
      </c>
      <c r="L89" s="28">
        <f t="shared" si="26"/>
        <v>513349.53399999999</v>
      </c>
      <c r="M89" s="28">
        <f t="shared" si="26"/>
        <v>12496.359999999999</v>
      </c>
      <c r="N89" s="28">
        <f t="shared" si="26"/>
        <v>500853.174</v>
      </c>
      <c r="O89" s="28">
        <f t="shared" si="26"/>
        <v>0</v>
      </c>
      <c r="P89" s="28">
        <f t="shared" si="26"/>
        <v>48414.3</v>
      </c>
      <c r="Q89" s="28">
        <f t="shared" si="26"/>
        <v>452438.87399999995</v>
      </c>
    </row>
    <row r="90" spans="1:17" s="49" customFormat="1" ht="12.75">
      <c r="A90" s="150" t="s">
        <v>355</v>
      </c>
      <c r="B90" s="48"/>
      <c r="C90" s="48"/>
      <c r="D90" s="43"/>
      <c r="E90" s="173"/>
      <c r="F90" s="64">
        <v>257989996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1:17" s="49" customFormat="1" ht="12.75">
      <c r="A91" s="151" t="s">
        <v>30</v>
      </c>
      <c r="B91" s="51"/>
      <c r="C91" s="51"/>
      <c r="D91" s="52"/>
      <c r="E91" s="203"/>
      <c r="F91" s="152">
        <f>F89-F90</f>
        <v>33652187.970000029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1:17" s="14" customFormat="1" ht="12.75">
      <c r="A92" s="16"/>
      <c r="B92" s="17"/>
      <c r="C92" s="17"/>
      <c r="D92" s="13"/>
      <c r="E92" s="22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>
      <c r="A93" s="89"/>
      <c r="B93" s="91"/>
      <c r="C93" s="91"/>
      <c r="D93" s="91"/>
      <c r="E93" s="227"/>
      <c r="F93" s="91"/>
      <c r="G93" s="91"/>
    </row>
    <row r="95" spans="1:17">
      <c r="A95" s="46"/>
      <c r="B95" s="46"/>
      <c r="C95" s="46"/>
      <c r="D95" s="46"/>
      <c r="E95" s="229"/>
      <c r="F95" s="46"/>
      <c r="G95" s="46"/>
    </row>
    <row r="101" spans="1:7">
      <c r="A101" s="89"/>
      <c r="B101" s="90"/>
      <c r="C101" s="90"/>
      <c r="D101" s="90"/>
      <c r="E101" s="230"/>
      <c r="F101" s="90"/>
      <c r="G101" s="90"/>
    </row>
    <row r="104" spans="1:7">
      <c r="A104" s="46"/>
      <c r="B104" s="46"/>
      <c r="C104" s="46"/>
      <c r="D104" s="46"/>
      <c r="E104" s="229"/>
      <c r="F104" s="46"/>
      <c r="G104" s="46"/>
    </row>
    <row r="105" spans="1:7">
      <c r="A105" s="46"/>
    </row>
    <row r="106" spans="1:7">
      <c r="A106" s="46"/>
      <c r="B106" s="46"/>
      <c r="C106" s="46"/>
      <c r="D106" s="46"/>
      <c r="E106" s="229"/>
      <c r="F106" s="46"/>
      <c r="G106" s="46"/>
    </row>
    <row r="112" spans="1:7">
      <c r="A112" s="46"/>
      <c r="B112" s="91"/>
      <c r="C112" s="91"/>
      <c r="D112" s="91"/>
      <c r="E112" s="227"/>
      <c r="F112" s="91"/>
      <c r="G112" s="91"/>
    </row>
    <row r="114" spans="1:7">
      <c r="A114" s="46"/>
      <c r="B114" s="46"/>
      <c r="C114" s="46"/>
      <c r="D114" s="46"/>
      <c r="E114" s="229"/>
      <c r="F114" s="46"/>
      <c r="G114" s="46"/>
    </row>
    <row r="119" spans="1:7">
      <c r="A119" s="89"/>
      <c r="B119" s="91"/>
      <c r="C119" s="91"/>
      <c r="D119" s="91"/>
      <c r="E119" s="227"/>
      <c r="F119" s="91"/>
      <c r="G119" s="91"/>
    </row>
    <row r="121" spans="1:7">
      <c r="A121" s="46"/>
      <c r="B121" s="46"/>
      <c r="C121" s="46"/>
      <c r="D121" s="46"/>
      <c r="E121" s="229"/>
      <c r="F121" s="46"/>
      <c r="G121" s="46"/>
    </row>
    <row r="126" spans="1:7">
      <c r="A126" s="89"/>
      <c r="B126" s="91"/>
      <c r="C126" s="91"/>
      <c r="D126" s="91"/>
      <c r="E126" s="227"/>
      <c r="F126" s="91"/>
      <c r="G126" s="91"/>
    </row>
    <row r="128" spans="1:7">
      <c r="A128" s="46"/>
      <c r="B128" s="46"/>
      <c r="C128" s="46"/>
      <c r="D128" s="46"/>
      <c r="E128" s="229"/>
      <c r="F128" s="46"/>
      <c r="G128" s="46"/>
    </row>
    <row r="133" spans="1:7">
      <c r="A133" s="89"/>
      <c r="B133" s="91"/>
      <c r="C133" s="91"/>
      <c r="D133" s="91"/>
      <c r="E133" s="227"/>
      <c r="F133" s="91"/>
      <c r="G133" s="91"/>
    </row>
    <row r="135" spans="1:7">
      <c r="A135" s="46"/>
      <c r="B135" s="46"/>
      <c r="C135" s="46"/>
      <c r="D135" s="46"/>
      <c r="E135" s="229"/>
      <c r="F135" s="46"/>
      <c r="G135" s="46"/>
    </row>
    <row r="141" spans="1:7">
      <c r="A141" s="89"/>
      <c r="B141" s="90"/>
      <c r="C141" s="90"/>
      <c r="D141" s="90"/>
      <c r="E141" s="230"/>
      <c r="F141" s="90"/>
      <c r="G141" s="90"/>
    </row>
    <row r="144" spans="1:7">
      <c r="A144" s="46"/>
      <c r="B144" s="46"/>
      <c r="C144" s="46"/>
      <c r="D144" s="46"/>
      <c r="E144" s="229"/>
      <c r="F144" s="46"/>
      <c r="G144" s="46"/>
    </row>
    <row r="145" spans="1:7">
      <c r="A145" s="46"/>
    </row>
    <row r="146" spans="1:7">
      <c r="A146" s="46"/>
      <c r="B146" s="46"/>
      <c r="C146" s="46"/>
      <c r="D146" s="46"/>
      <c r="E146" s="229"/>
      <c r="F146" s="46"/>
      <c r="G146" s="46"/>
    </row>
    <row r="152" spans="1:7">
      <c r="A152" s="46"/>
      <c r="B152" s="91"/>
      <c r="C152" s="91"/>
      <c r="D152" s="91"/>
      <c r="E152" s="227"/>
      <c r="F152" s="91"/>
      <c r="G152" s="91"/>
    </row>
    <row r="154" spans="1:7">
      <c r="A154" s="46"/>
      <c r="B154" s="46"/>
      <c r="C154" s="46"/>
      <c r="D154" s="46"/>
      <c r="E154" s="229"/>
      <c r="F154" s="46"/>
      <c r="G154" s="46"/>
    </row>
    <row r="159" spans="1:7">
      <c r="A159" s="89"/>
      <c r="B159" s="91"/>
      <c r="C159" s="91"/>
      <c r="D159" s="91"/>
      <c r="E159" s="227"/>
      <c r="F159" s="91"/>
      <c r="G159" s="91"/>
    </row>
    <row r="161" spans="1:7">
      <c r="A161" s="46"/>
      <c r="B161" s="46"/>
      <c r="C161" s="46"/>
      <c r="D161" s="46"/>
      <c r="E161" s="229"/>
      <c r="F161" s="46"/>
      <c r="G161" s="46"/>
    </row>
    <row r="166" spans="1:7">
      <c r="A166" s="89"/>
      <c r="B166" s="91"/>
      <c r="C166" s="91"/>
      <c r="D166" s="91"/>
      <c r="E166" s="227"/>
      <c r="F166" s="91"/>
      <c r="G166" s="91"/>
    </row>
    <row r="168" spans="1:7">
      <c r="A168" s="46"/>
      <c r="B168" s="46"/>
      <c r="C168" s="46"/>
      <c r="D168" s="46"/>
      <c r="E168" s="229"/>
      <c r="F168" s="46"/>
      <c r="G168" s="46"/>
    </row>
    <row r="173" spans="1:7">
      <c r="A173" s="89"/>
      <c r="B173" s="91"/>
      <c r="C173" s="91"/>
      <c r="D173" s="91"/>
      <c r="E173" s="227"/>
      <c r="F173" s="91"/>
      <c r="G173" s="91"/>
    </row>
    <row r="175" spans="1:7">
      <c r="A175" s="46"/>
      <c r="B175" s="46"/>
      <c r="C175" s="46"/>
      <c r="D175" s="46"/>
      <c r="E175" s="229"/>
      <c r="F175" s="46"/>
      <c r="G175" s="46"/>
    </row>
    <row r="181" spans="1:7">
      <c r="A181" s="89"/>
      <c r="B181" s="90"/>
      <c r="C181" s="90"/>
      <c r="D181" s="90"/>
      <c r="E181" s="230"/>
      <c r="F181" s="90"/>
      <c r="G181" s="90"/>
    </row>
    <row r="184" spans="1:7">
      <c r="A184" s="46"/>
      <c r="B184" s="46"/>
      <c r="C184" s="46"/>
      <c r="D184" s="46"/>
      <c r="E184" s="229"/>
      <c r="F184" s="46"/>
      <c r="G184" s="46"/>
    </row>
    <row r="185" spans="1:7">
      <c r="A185" s="46"/>
    </row>
    <row r="186" spans="1:7">
      <c r="A186" s="46"/>
      <c r="B186" s="46"/>
      <c r="C186" s="46"/>
      <c r="D186" s="46"/>
      <c r="E186" s="229"/>
      <c r="F186" s="46"/>
      <c r="G186" s="46"/>
    </row>
    <row r="192" spans="1:7">
      <c r="A192" s="46"/>
      <c r="B192" s="91"/>
      <c r="C192" s="91"/>
      <c r="D192" s="91"/>
      <c r="E192" s="227"/>
      <c r="F192" s="91"/>
      <c r="G192" s="91"/>
    </row>
    <row r="194" spans="1:7">
      <c r="A194" s="46"/>
      <c r="B194" s="46"/>
      <c r="C194" s="46"/>
      <c r="D194" s="46"/>
      <c r="E194" s="229"/>
      <c r="F194" s="46"/>
      <c r="G194" s="46"/>
    </row>
    <row r="199" spans="1:7">
      <c r="A199" s="89"/>
      <c r="B199" s="91"/>
      <c r="C199" s="91"/>
      <c r="D199" s="91"/>
      <c r="E199" s="227"/>
      <c r="F199" s="91"/>
      <c r="G199" s="91"/>
    </row>
    <row r="201" spans="1:7">
      <c r="A201" s="46"/>
      <c r="B201" s="46"/>
      <c r="C201" s="46"/>
      <c r="D201" s="46"/>
      <c r="E201" s="229"/>
      <c r="F201" s="46"/>
      <c r="G201" s="46"/>
    </row>
    <row r="206" spans="1:7">
      <c r="A206" s="89"/>
      <c r="B206" s="91"/>
      <c r="C206" s="91"/>
      <c r="D206" s="91"/>
      <c r="E206" s="227"/>
      <c r="F206" s="91"/>
      <c r="G206" s="91"/>
    </row>
    <row r="208" spans="1:7">
      <c r="A208" s="46"/>
      <c r="B208" s="46"/>
      <c r="C208" s="46"/>
      <c r="D208" s="46"/>
      <c r="E208" s="229"/>
      <c r="F208" s="46"/>
      <c r="G208" s="46"/>
    </row>
    <row r="213" spans="1:7">
      <c r="A213" s="89"/>
      <c r="B213" s="91"/>
      <c r="C213" s="91"/>
      <c r="D213" s="91"/>
      <c r="E213" s="227"/>
      <c r="F213" s="91"/>
      <c r="G213" s="91"/>
    </row>
    <row r="215" spans="1:7">
      <c r="A215" s="46"/>
      <c r="B215" s="46"/>
      <c r="C215" s="46"/>
      <c r="D215" s="46"/>
      <c r="E215" s="229"/>
      <c r="F215" s="46"/>
      <c r="G215" s="46"/>
    </row>
    <row r="221" spans="1:7">
      <c r="A221" s="89"/>
      <c r="B221" s="90"/>
      <c r="C221" s="90"/>
      <c r="D221" s="90"/>
      <c r="E221" s="230"/>
      <c r="F221" s="90"/>
      <c r="G221" s="90"/>
    </row>
    <row r="224" spans="1:7">
      <c r="A224" s="46"/>
      <c r="B224" s="46"/>
      <c r="C224" s="46"/>
      <c r="D224" s="46"/>
      <c r="E224" s="229"/>
      <c r="F224" s="46"/>
      <c r="G224" s="46"/>
    </row>
    <row r="225" spans="1:7">
      <c r="A225" s="46"/>
    </row>
    <row r="226" spans="1:7">
      <c r="A226" s="46"/>
      <c r="B226" s="46"/>
      <c r="C226" s="46"/>
      <c r="D226" s="46"/>
      <c r="E226" s="229"/>
      <c r="F226" s="46"/>
      <c r="G226" s="46"/>
    </row>
    <row r="232" spans="1:7">
      <c r="A232" s="46"/>
      <c r="B232" s="91"/>
      <c r="C232" s="91"/>
      <c r="D232" s="91"/>
      <c r="E232" s="227"/>
      <c r="F232" s="91"/>
      <c r="G232" s="91"/>
    </row>
    <row r="234" spans="1:7">
      <c r="A234" s="46"/>
      <c r="B234" s="46"/>
      <c r="C234" s="46"/>
      <c r="D234" s="46"/>
      <c r="E234" s="229"/>
      <c r="F234" s="46"/>
      <c r="G234" s="46"/>
    </row>
    <row r="239" spans="1:7">
      <c r="A239" s="89"/>
      <c r="B239" s="91"/>
      <c r="C239" s="91"/>
      <c r="D239" s="91"/>
      <c r="E239" s="227"/>
      <c r="F239" s="91"/>
      <c r="G239" s="91"/>
    </row>
    <row r="241" spans="1:7">
      <c r="A241" s="46"/>
      <c r="B241" s="46"/>
      <c r="C241" s="46"/>
      <c r="D241" s="46"/>
      <c r="E241" s="229"/>
      <c r="F241" s="46"/>
      <c r="G241" s="46"/>
    </row>
    <row r="246" spans="1:7">
      <c r="A246" s="89"/>
      <c r="B246" s="91"/>
      <c r="C246" s="91"/>
      <c r="D246" s="91"/>
      <c r="E246" s="227"/>
      <c r="F246" s="91"/>
      <c r="G246" s="91"/>
    </row>
    <row r="248" spans="1:7">
      <c r="A248" s="46"/>
      <c r="B248" s="46"/>
      <c r="C248" s="46"/>
      <c r="D248" s="46"/>
      <c r="E248" s="229"/>
      <c r="F248" s="46"/>
      <c r="G248" s="46"/>
    </row>
    <row r="253" spans="1:7">
      <c r="A253" s="89"/>
      <c r="B253" s="91"/>
      <c r="C253" s="91"/>
      <c r="D253" s="91"/>
      <c r="E253" s="227"/>
      <c r="F253" s="91"/>
      <c r="G253" s="91"/>
    </row>
    <row r="255" spans="1:7">
      <c r="A255" s="46"/>
      <c r="B255" s="46"/>
      <c r="C255" s="46"/>
      <c r="D255" s="46"/>
      <c r="E255" s="229"/>
      <c r="F255" s="46"/>
      <c r="G255" s="46"/>
    </row>
    <row r="261" spans="1:7">
      <c r="A261" s="89"/>
      <c r="B261" s="90"/>
      <c r="C261" s="90"/>
      <c r="D261" s="90"/>
      <c r="E261" s="230"/>
      <c r="F261" s="90"/>
      <c r="G261" s="90"/>
    </row>
    <row r="264" spans="1:7">
      <c r="A264" s="46"/>
      <c r="B264" s="46"/>
      <c r="C264" s="46"/>
      <c r="D264" s="46"/>
      <c r="E264" s="229"/>
      <c r="F264" s="46"/>
      <c r="G264" s="46"/>
    </row>
    <row r="265" spans="1:7">
      <c r="A265" s="46"/>
    </row>
    <row r="266" spans="1:7">
      <c r="A266" s="46"/>
      <c r="B266" s="46"/>
      <c r="C266" s="46"/>
      <c r="D266" s="46"/>
      <c r="E266" s="229"/>
      <c r="F266" s="46"/>
      <c r="G266" s="46"/>
    </row>
    <row r="272" spans="1:7">
      <c r="A272" s="46"/>
      <c r="B272" s="91"/>
      <c r="C272" s="91"/>
      <c r="D272" s="91"/>
      <c r="E272" s="227"/>
      <c r="F272" s="91"/>
      <c r="G272" s="91"/>
    </row>
    <row r="274" spans="1:7">
      <c r="A274" s="46"/>
      <c r="B274" s="46"/>
      <c r="C274" s="46"/>
      <c r="D274" s="46"/>
      <c r="E274" s="229"/>
      <c r="F274" s="46"/>
      <c r="G274" s="46"/>
    </row>
    <row r="279" spans="1:7">
      <c r="A279" s="89"/>
      <c r="B279" s="91"/>
      <c r="C279" s="91"/>
      <c r="D279" s="91"/>
      <c r="E279" s="227"/>
      <c r="F279" s="91"/>
      <c r="G279" s="91"/>
    </row>
    <row r="281" spans="1:7">
      <c r="A281" s="46"/>
      <c r="B281" s="46"/>
      <c r="C281" s="46"/>
      <c r="D281" s="46"/>
      <c r="E281" s="229"/>
      <c r="F281" s="46"/>
      <c r="G281" s="46"/>
    </row>
    <row r="286" spans="1:7">
      <c r="A286" s="89"/>
      <c r="B286" s="91"/>
      <c r="C286" s="91"/>
      <c r="D286" s="91"/>
      <c r="E286" s="227"/>
      <c r="F286" s="91"/>
      <c r="G286" s="91"/>
    </row>
    <row r="288" spans="1:7">
      <c r="A288" s="46"/>
      <c r="B288" s="46"/>
      <c r="C288" s="46"/>
      <c r="D288" s="46"/>
      <c r="E288" s="229"/>
      <c r="F288" s="46"/>
      <c r="G288" s="46"/>
    </row>
    <row r="293" spans="1:7">
      <c r="A293" s="89"/>
      <c r="B293" s="91"/>
      <c r="C293" s="91"/>
      <c r="D293" s="91"/>
      <c r="E293" s="227"/>
      <c r="F293" s="91"/>
      <c r="G293" s="91"/>
    </row>
    <row r="295" spans="1:7">
      <c r="A295" s="46"/>
      <c r="B295" s="46"/>
      <c r="C295" s="46"/>
      <c r="D295" s="46"/>
      <c r="E295" s="229"/>
      <c r="F295" s="46"/>
      <c r="G295" s="46"/>
    </row>
    <row r="301" spans="1:7">
      <c r="A301" s="89"/>
      <c r="B301" s="90"/>
      <c r="C301" s="90"/>
      <c r="D301" s="90"/>
      <c r="E301" s="230"/>
      <c r="F301" s="90"/>
      <c r="G301" s="90"/>
    </row>
    <row r="302" spans="1:7" ht="16.5" customHeight="1"/>
    <row r="304" spans="1:7">
      <c r="A304" s="46"/>
      <c r="B304" s="46"/>
      <c r="C304" s="46"/>
      <c r="D304" s="46"/>
      <c r="E304" s="229"/>
      <c r="F304" s="46"/>
      <c r="G304" s="46"/>
    </row>
    <row r="305" spans="1:7">
      <c r="A305" s="46"/>
    </row>
    <row r="306" spans="1:7">
      <c r="A306" s="46"/>
      <c r="B306" s="46"/>
      <c r="C306" s="46"/>
      <c r="D306" s="46"/>
      <c r="E306" s="229"/>
      <c r="F306" s="46"/>
      <c r="G306" s="46"/>
    </row>
    <row r="312" spans="1:7">
      <c r="A312" s="46"/>
      <c r="B312" s="91"/>
      <c r="C312" s="91"/>
      <c r="D312" s="91"/>
      <c r="E312" s="227"/>
      <c r="F312" s="91"/>
      <c r="G312" s="91"/>
    </row>
    <row r="314" spans="1:7">
      <c r="A314" s="46"/>
      <c r="B314" s="46"/>
      <c r="C314" s="46"/>
      <c r="D314" s="46"/>
      <c r="E314" s="229"/>
      <c r="F314" s="46"/>
      <c r="G314" s="46"/>
    </row>
    <row r="319" spans="1:7">
      <c r="A319" s="89"/>
      <c r="B319" s="91"/>
      <c r="C319" s="91"/>
      <c r="D319" s="91"/>
      <c r="E319" s="227"/>
      <c r="F319" s="91"/>
      <c r="G319" s="91"/>
    </row>
    <row r="321" spans="1:7">
      <c r="A321" s="46"/>
      <c r="B321" s="46"/>
      <c r="C321" s="46"/>
      <c r="D321" s="46"/>
      <c r="E321" s="229"/>
      <c r="F321" s="46"/>
      <c r="G321" s="46"/>
    </row>
    <row r="326" spans="1:7">
      <c r="A326" s="89"/>
      <c r="B326" s="91"/>
      <c r="C326" s="91"/>
      <c r="D326" s="91"/>
      <c r="E326" s="227"/>
      <c r="F326" s="91"/>
      <c r="G326" s="91"/>
    </row>
    <row r="328" spans="1:7">
      <c r="A328" s="46"/>
      <c r="B328" s="46"/>
      <c r="C328" s="46"/>
      <c r="D328" s="46"/>
      <c r="E328" s="229"/>
      <c r="F328" s="46"/>
      <c r="G328" s="46"/>
    </row>
    <row r="333" spans="1:7">
      <c r="A333" s="89"/>
      <c r="B333" s="91"/>
      <c r="C333" s="91"/>
      <c r="D333" s="91"/>
      <c r="E333" s="227"/>
      <c r="F333" s="91"/>
      <c r="G333" s="91"/>
    </row>
    <row r="335" spans="1:7">
      <c r="A335" s="46"/>
      <c r="B335" s="46"/>
      <c r="C335" s="46"/>
      <c r="D335" s="46"/>
      <c r="E335" s="229"/>
      <c r="F335" s="46"/>
      <c r="G335" s="46"/>
    </row>
    <row r="341" spans="1:7">
      <c r="A341" s="89"/>
      <c r="B341" s="90"/>
      <c r="C341" s="90"/>
      <c r="D341" s="90"/>
      <c r="E341" s="230"/>
      <c r="F341" s="90"/>
      <c r="G341" s="90"/>
    </row>
    <row r="344" spans="1:7">
      <c r="A344" s="46"/>
      <c r="B344" s="46"/>
      <c r="C344" s="46"/>
      <c r="D344" s="46"/>
      <c r="E344" s="229"/>
      <c r="F344" s="46"/>
      <c r="G344" s="46"/>
    </row>
    <row r="345" spans="1:7">
      <c r="A345" s="46"/>
    </row>
    <row r="346" spans="1:7">
      <c r="A346" s="46"/>
      <c r="B346" s="46"/>
      <c r="C346" s="46"/>
      <c r="D346" s="46"/>
      <c r="E346" s="229"/>
      <c r="F346" s="46"/>
      <c r="G346" s="46"/>
    </row>
    <row r="352" spans="1:7">
      <c r="A352" s="46"/>
      <c r="B352" s="91"/>
      <c r="C352" s="91"/>
      <c r="D352" s="91"/>
      <c r="E352" s="227"/>
      <c r="F352" s="91"/>
      <c r="G352" s="91"/>
    </row>
    <row r="354" spans="1:7">
      <c r="A354" s="46"/>
      <c r="B354" s="46"/>
      <c r="C354" s="46"/>
      <c r="D354" s="46"/>
      <c r="E354" s="229"/>
      <c r="F354" s="46"/>
      <c r="G354" s="46"/>
    </row>
    <row r="359" spans="1:7">
      <c r="A359" s="89"/>
      <c r="B359" s="91"/>
      <c r="C359" s="91"/>
      <c r="D359" s="91"/>
      <c r="E359" s="227"/>
      <c r="F359" s="91"/>
      <c r="G359" s="91"/>
    </row>
    <row r="361" spans="1:7">
      <c r="A361" s="46"/>
      <c r="B361" s="46"/>
      <c r="C361" s="46"/>
      <c r="D361" s="46"/>
      <c r="E361" s="229"/>
      <c r="F361" s="46"/>
      <c r="G361" s="46"/>
    </row>
    <row r="366" spans="1:7">
      <c r="A366" s="89"/>
      <c r="B366" s="91"/>
      <c r="C366" s="91"/>
      <c r="D366" s="91"/>
      <c r="E366" s="227"/>
      <c r="F366" s="91"/>
      <c r="G366" s="91"/>
    </row>
    <row r="368" spans="1:7">
      <c r="A368" s="46"/>
      <c r="B368" s="46"/>
      <c r="C368" s="46"/>
      <c r="D368" s="46"/>
      <c r="E368" s="229"/>
      <c r="F368" s="46"/>
      <c r="G368" s="46"/>
    </row>
    <row r="373" spans="1:7">
      <c r="A373" s="89"/>
      <c r="B373" s="91"/>
      <c r="C373" s="91"/>
      <c r="D373" s="91"/>
      <c r="E373" s="227"/>
      <c r="F373" s="91"/>
      <c r="G373" s="91"/>
    </row>
    <row r="375" spans="1:7">
      <c r="A375" s="46"/>
      <c r="B375" s="46"/>
      <c r="C375" s="46"/>
      <c r="D375" s="46"/>
      <c r="E375" s="229"/>
      <c r="F375" s="46"/>
      <c r="G375" s="46"/>
    </row>
    <row r="381" spans="1:7">
      <c r="A381" s="89"/>
      <c r="B381" s="90"/>
      <c r="C381" s="90"/>
      <c r="D381" s="90"/>
      <c r="E381" s="230"/>
      <c r="F381" s="90"/>
      <c r="G381" s="90"/>
    </row>
    <row r="384" spans="1:7">
      <c r="A384" s="46"/>
      <c r="B384" s="46"/>
      <c r="C384" s="46"/>
      <c r="D384" s="46"/>
      <c r="E384" s="229"/>
      <c r="F384" s="46"/>
      <c r="G384" s="46"/>
    </row>
    <row r="385" spans="1:7">
      <c r="A385" s="46"/>
    </row>
    <row r="386" spans="1:7">
      <c r="A386" s="46"/>
      <c r="B386" s="46"/>
      <c r="C386" s="46"/>
      <c r="D386" s="46"/>
      <c r="E386" s="229"/>
      <c r="F386" s="46"/>
      <c r="G386" s="46"/>
    </row>
    <row r="392" spans="1:7">
      <c r="A392" s="46"/>
      <c r="B392" s="91"/>
      <c r="C392" s="91"/>
      <c r="D392" s="91"/>
      <c r="E392" s="227"/>
      <c r="F392" s="91"/>
      <c r="G392" s="91"/>
    </row>
    <row r="394" spans="1:7">
      <c r="A394" s="46"/>
      <c r="B394" s="46"/>
      <c r="C394" s="46"/>
      <c r="D394" s="46"/>
      <c r="E394" s="229"/>
      <c r="F394" s="46"/>
      <c r="G394" s="46"/>
    </row>
    <row r="399" spans="1:7">
      <c r="A399" s="89"/>
      <c r="B399" s="91"/>
      <c r="C399" s="91"/>
      <c r="D399" s="91"/>
      <c r="E399" s="227"/>
      <c r="F399" s="91"/>
      <c r="G399" s="91"/>
    </row>
    <row r="401" spans="1:7">
      <c r="A401" s="46"/>
      <c r="B401" s="46"/>
      <c r="C401" s="46"/>
      <c r="D401" s="46"/>
      <c r="E401" s="229"/>
      <c r="F401" s="46"/>
      <c r="G401" s="46"/>
    </row>
    <row r="406" spans="1:7">
      <c r="A406" s="89"/>
      <c r="B406" s="91"/>
      <c r="C406" s="91"/>
      <c r="D406" s="91"/>
      <c r="E406" s="227"/>
      <c r="F406" s="91"/>
      <c r="G406" s="91"/>
    </row>
    <row r="408" spans="1:7">
      <c r="A408" s="46"/>
      <c r="B408" s="46"/>
      <c r="C408" s="46"/>
      <c r="D408" s="46"/>
      <c r="E408" s="229"/>
      <c r="F408" s="46"/>
      <c r="G408" s="46"/>
    </row>
    <row r="413" spans="1:7">
      <c r="A413" s="89"/>
      <c r="B413" s="91"/>
      <c r="C413" s="91"/>
      <c r="D413" s="91"/>
      <c r="E413" s="227"/>
      <c r="F413" s="91"/>
      <c r="G413" s="91"/>
    </row>
    <row r="415" spans="1:7">
      <c r="A415" s="46"/>
      <c r="B415" s="46"/>
      <c r="C415" s="46"/>
      <c r="D415" s="46"/>
      <c r="E415" s="229"/>
      <c r="F415" s="46"/>
      <c r="G415" s="46"/>
    </row>
    <row r="421" spans="1:7">
      <c r="A421" s="89"/>
      <c r="B421" s="90"/>
      <c r="C421" s="90"/>
      <c r="D421" s="90"/>
      <c r="E421" s="230"/>
      <c r="F421" s="90"/>
      <c r="G421" s="90"/>
    </row>
    <row r="426" spans="1:7">
      <c r="A426" s="46"/>
    </row>
    <row r="427" spans="1:7">
      <c r="A427" s="46"/>
    </row>
    <row r="428" spans="1:7">
      <c r="A428" s="46"/>
    </row>
    <row r="429" spans="1:7">
      <c r="A429" s="46"/>
    </row>
  </sheetData>
  <customSheetViews>
    <customSheetView guid="{AE6F0488-1842-4C89-B05F-A836B633FB8F}" scale="75" showPageBreaks="1" hiddenColumns="1" showRuler="0">
      <pane xSplit="1" ySplit="3" topLeftCell="F4" activePane="bottomRight" state="frozen"/>
      <selection pane="bottomRight" activeCell="F12" sqref="F12"/>
      <rowBreaks count="1" manualBreakCount="1">
        <brk id="44" max="17" man="1"/>
      </rowBreaks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E18" sqref="E18"/>
      <rowBreaks count="1" manualBreakCount="1">
        <brk id="46" max="17" man="1"/>
      </rowBreaks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4" activePane="bottomRight" state="frozen"/>
      <selection pane="bottomRight" activeCell="E18" sqref="E18"/>
      <rowBreaks count="1" manualBreakCount="1">
        <brk id="46" max="17" man="1"/>
      </rowBreaks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9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1" manualBreakCount="1">
    <brk id="53" max="16" man="1"/>
  </rowBreaks>
  <legacy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8" tint="0.79998168889431442"/>
    <pageSetUpPr fitToPage="1"/>
  </sheetPr>
  <dimension ref="A1:Y1531"/>
  <sheetViews>
    <sheetView view="pageBreakPreview" zoomScale="75" zoomScaleNormal="59" zoomScaleSheetLayoutView="75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.75"/>
  <cols>
    <col min="1" max="1" width="31.7109375" style="49" customWidth="1"/>
    <col min="2" max="2" width="14" style="82" customWidth="1"/>
    <col min="3" max="3" width="11.7109375" style="82" customWidth="1"/>
    <col min="4" max="4" width="10.85546875" style="82" customWidth="1"/>
    <col min="5" max="5" width="15.85546875" style="209" hidden="1" customWidth="1"/>
    <col min="6" max="6" width="21" style="82" bestFit="1" customWidth="1"/>
    <col min="7" max="7" width="18.42578125" style="82" customWidth="1"/>
    <col min="8" max="8" width="20" style="49" customWidth="1"/>
    <col min="9" max="9" width="15.85546875" style="49" customWidth="1"/>
    <col min="10" max="10" width="17.85546875" style="49" customWidth="1"/>
    <col min="11" max="11" width="15.85546875" style="49" customWidth="1"/>
    <col min="12" max="12" width="20" style="49" customWidth="1"/>
    <col min="13" max="13" width="18.5703125" style="49" customWidth="1"/>
    <col min="14" max="14" width="20.42578125" style="49" customWidth="1"/>
    <col min="15" max="15" width="15.140625" style="49" customWidth="1"/>
    <col min="16" max="16" width="17" style="49" customWidth="1"/>
    <col min="17" max="17" width="20.5703125" style="49" customWidth="1"/>
    <col min="18" max="18" width="9.140625" style="49"/>
    <col min="19" max="19" width="13.42578125" style="49" customWidth="1"/>
    <col min="20" max="20" width="15.5703125" style="49" customWidth="1"/>
    <col min="21" max="21" width="15.28515625" style="49" customWidth="1"/>
    <col min="22" max="22" width="16.85546875" style="49" customWidth="1"/>
    <col min="23" max="24" width="17" style="49" customWidth="1"/>
    <col min="25" max="16384" width="9.140625" style="49"/>
  </cols>
  <sheetData>
    <row r="1" spans="1:25" ht="15.75" customHeight="1">
      <c r="A1" s="1" t="s">
        <v>194</v>
      </c>
      <c r="B1" s="48"/>
      <c r="C1" s="48"/>
      <c r="D1" s="43"/>
      <c r="E1" s="17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ht="15.75" customHeight="1">
      <c r="A2" s="466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84.7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51"/>
      <c r="C4" s="51"/>
      <c r="D4" s="52"/>
      <c r="E4" s="203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25">
      <c r="A5" s="54" t="s">
        <v>10</v>
      </c>
      <c r="B5" s="51"/>
      <c r="C5" s="51"/>
      <c r="D5" s="52"/>
      <c r="E5" s="203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5">
      <c r="A6" s="50"/>
      <c r="B6" s="51"/>
      <c r="C6" s="51"/>
      <c r="D6" s="52"/>
      <c r="E6" s="203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5">
      <c r="A7" s="47" t="str">
        <f>A28</f>
        <v>STATE OF NEVADA</v>
      </c>
      <c r="B7" s="48">
        <f t="shared" ref="B7:Q7" si="0">B37</f>
        <v>0.17</v>
      </c>
      <c r="C7" s="48">
        <f t="shared" si="0"/>
        <v>0</v>
      </c>
      <c r="D7" s="43">
        <f t="shared" si="0"/>
        <v>58339</v>
      </c>
      <c r="E7" s="173"/>
      <c r="F7" s="43">
        <f t="shared" si="0"/>
        <v>2524073747.8958821</v>
      </c>
      <c r="G7" s="53">
        <f t="shared" si="0"/>
        <v>379486.9719</v>
      </c>
      <c r="H7" s="53">
        <f t="shared" si="0"/>
        <v>4076627.5282999999</v>
      </c>
      <c r="I7" s="53">
        <f t="shared" si="0"/>
        <v>0</v>
      </c>
      <c r="J7" s="53">
        <f t="shared" si="0"/>
        <v>164702.63</v>
      </c>
      <c r="K7" s="53">
        <f t="shared" si="0"/>
        <v>255.38</v>
      </c>
      <c r="L7" s="53">
        <f t="shared" si="0"/>
        <v>4291667.2502000006</v>
      </c>
      <c r="M7" s="53">
        <f t="shared" si="0"/>
        <v>810945.59000000008</v>
      </c>
      <c r="N7" s="53">
        <f t="shared" si="0"/>
        <v>3480721.6602000003</v>
      </c>
      <c r="O7" s="53">
        <f t="shared" si="0"/>
        <v>0</v>
      </c>
      <c r="P7" s="53">
        <f>P37</f>
        <v>76534.63</v>
      </c>
      <c r="Q7" s="53">
        <f t="shared" si="0"/>
        <v>3404187.0302000004</v>
      </c>
      <c r="W7" s="174" t="s">
        <v>15</v>
      </c>
      <c r="X7" s="284">
        <f>Q30+Q58+Q77+Q89+Q103+Q115+Q127+Q139+Q151+Q163+Q175+Q187+Q199+Q211+Q223+Q235+Q247+Q259</f>
        <v>54994702.010000005</v>
      </c>
    </row>
    <row r="8" spans="1:25">
      <c r="A8" s="49" t="str">
        <f>A40</f>
        <v>GENERAL COUNTY</v>
      </c>
      <c r="B8" s="48">
        <f t="shared" ref="B8:Q8" si="1">B65</f>
        <v>1.3467999999999996</v>
      </c>
      <c r="C8" s="48">
        <f t="shared" si="1"/>
        <v>0</v>
      </c>
      <c r="D8" s="43">
        <f t="shared" si="1"/>
        <v>58339</v>
      </c>
      <c r="E8" s="454"/>
      <c r="F8" s="43">
        <f t="shared" si="1"/>
        <v>2524074287.7638049</v>
      </c>
      <c r="G8" s="53">
        <f t="shared" si="1"/>
        <v>3006429.8910759995</v>
      </c>
      <c r="H8" s="53">
        <f t="shared" si="1"/>
        <v>32499675.780131999</v>
      </c>
      <c r="I8" s="53">
        <f t="shared" si="1"/>
        <v>0</v>
      </c>
      <c r="J8" s="53">
        <f t="shared" si="1"/>
        <v>1304834.47</v>
      </c>
      <c r="K8" s="53">
        <f t="shared" si="1"/>
        <v>2045.56</v>
      </c>
      <c r="L8" s="53">
        <f t="shared" si="1"/>
        <v>34203316.761207998</v>
      </c>
      <c r="M8" s="53">
        <f t="shared" si="1"/>
        <v>6486024.4200000009</v>
      </c>
      <c r="N8" s="53">
        <f t="shared" si="1"/>
        <v>27717292.341208</v>
      </c>
      <c r="O8" s="53">
        <f t="shared" si="1"/>
        <v>0</v>
      </c>
      <c r="P8" s="53">
        <f>P65</f>
        <v>1054097.1299999999</v>
      </c>
      <c r="Q8" s="53">
        <f t="shared" si="1"/>
        <v>26663195.211207997</v>
      </c>
      <c r="W8" s="47" t="s">
        <v>16</v>
      </c>
      <c r="X8" s="53">
        <f>Q31+Q59+Q78+Q90+Q104+Q116+Q128+Q140+Q152+Q164+Q176+Q188+Q200+Q212+Q224+Q236+Q248+Q260</f>
        <v>1663293.337333</v>
      </c>
    </row>
    <row r="9" spans="1:25">
      <c r="A9" s="47" t="str">
        <f>A75</f>
        <v>SCHOOL DISTRICT</v>
      </c>
      <c r="B9" s="48">
        <f t="shared" ref="B9:Q9" si="2">B98</f>
        <v>1.335</v>
      </c>
      <c r="C9" s="48">
        <f t="shared" si="2"/>
        <v>0</v>
      </c>
      <c r="D9" s="43">
        <f t="shared" si="2"/>
        <v>58339</v>
      </c>
      <c r="E9" s="173"/>
      <c r="F9" s="43">
        <f t="shared" si="2"/>
        <v>2524073369.856667</v>
      </c>
      <c r="G9" s="53">
        <f t="shared" si="2"/>
        <v>2980088.9934499995</v>
      </c>
      <c r="H9" s="53">
        <f t="shared" si="2"/>
        <v>32013622.896649998</v>
      </c>
      <c r="I9" s="53">
        <f t="shared" si="2"/>
        <v>0</v>
      </c>
      <c r="J9" s="53">
        <f t="shared" si="2"/>
        <v>1293402.96</v>
      </c>
      <c r="K9" s="53">
        <f t="shared" si="2"/>
        <v>2007.82</v>
      </c>
      <c r="L9" s="53">
        <f t="shared" si="2"/>
        <v>33702316.750100002</v>
      </c>
      <c r="M9" s="53">
        <f t="shared" si="2"/>
        <v>6368392.6100000003</v>
      </c>
      <c r="N9" s="53">
        <f t="shared" si="2"/>
        <v>27333924.140100002</v>
      </c>
      <c r="O9" s="53">
        <f t="shared" si="2"/>
        <v>0</v>
      </c>
      <c r="P9" s="53">
        <f>P98</f>
        <v>664286.85</v>
      </c>
      <c r="Q9" s="53">
        <f t="shared" si="2"/>
        <v>26669637.290100001</v>
      </c>
      <c r="W9" s="171" t="s">
        <v>17</v>
      </c>
      <c r="X9" s="284">
        <f>Q32+Q60+Q79+Q91+Q105+Q117+Q129+Q141+Q153+Q165+Q177+Q189+Q201+Q213+Q225+Q237+Q249+Q261</f>
        <v>5425912.0445169983</v>
      </c>
    </row>
    <row r="10" spans="1:25">
      <c r="A10" s="49" t="str">
        <f>A101</f>
        <v>AMARGOSA TOWN</v>
      </c>
      <c r="B10" s="48">
        <f t="shared" ref="B10:Q10" si="3">B110</f>
        <v>0.49490000000000001</v>
      </c>
      <c r="C10" s="48">
        <f t="shared" si="3"/>
        <v>0</v>
      </c>
      <c r="D10" s="43">
        <f t="shared" si="3"/>
        <v>1958</v>
      </c>
      <c r="E10" s="173"/>
      <c r="F10" s="43">
        <f t="shared" si="3"/>
        <v>74074904.969999999</v>
      </c>
      <c r="G10" s="53">
        <f t="shared" si="3"/>
        <v>17659.581877000001</v>
      </c>
      <c r="H10" s="53">
        <f t="shared" si="3"/>
        <v>349912.74577899999</v>
      </c>
      <c r="I10" s="53">
        <f t="shared" si="3"/>
        <v>0</v>
      </c>
      <c r="J10" s="53">
        <f t="shared" si="3"/>
        <v>1853.05</v>
      </c>
      <c r="K10" s="53">
        <f t="shared" si="3"/>
        <v>0</v>
      </c>
      <c r="L10" s="53">
        <f t="shared" si="3"/>
        <v>365719.27765599999</v>
      </c>
      <c r="M10" s="53">
        <f t="shared" si="3"/>
        <v>18408.560000000001</v>
      </c>
      <c r="N10" s="53">
        <f t="shared" si="3"/>
        <v>347310.71765600005</v>
      </c>
      <c r="O10" s="53">
        <f t="shared" si="3"/>
        <v>0</v>
      </c>
      <c r="P10" s="53">
        <f>P110</f>
        <v>63650.35</v>
      </c>
      <c r="Q10" s="53">
        <f t="shared" si="3"/>
        <v>283660.36765600002</v>
      </c>
      <c r="S10" s="53">
        <f>SUM(L10:L16)</f>
        <v>9589575.4587239996</v>
      </c>
      <c r="T10" s="53">
        <f>SUM(Q10:Q16)</f>
        <v>7456869.4087240007</v>
      </c>
      <c r="W10" s="171" t="s">
        <v>18</v>
      </c>
      <c r="X10" s="284"/>
    </row>
    <row r="11" spans="1:25">
      <c r="A11" s="49" t="str">
        <f>A113</f>
        <v>BEATTY TOWN</v>
      </c>
      <c r="B11" s="48">
        <f t="shared" ref="B11:Q11" si="4">B122</f>
        <v>0.21049999999999999</v>
      </c>
      <c r="C11" s="48">
        <f t="shared" si="4"/>
        <v>0</v>
      </c>
      <c r="D11" s="43">
        <f t="shared" si="4"/>
        <v>767</v>
      </c>
      <c r="E11" s="173"/>
      <c r="F11" s="43">
        <f t="shared" si="4"/>
        <v>29929789.074940614</v>
      </c>
      <c r="G11" s="53">
        <f t="shared" si="4"/>
        <v>6658.81783</v>
      </c>
      <c r="H11" s="53">
        <f t="shared" si="4"/>
        <v>56868.652700000006</v>
      </c>
      <c r="I11" s="53">
        <f t="shared" si="4"/>
        <v>0</v>
      </c>
      <c r="J11" s="53">
        <f t="shared" si="4"/>
        <v>749.43</v>
      </c>
      <c r="K11" s="53">
        <f t="shared" si="4"/>
        <v>0</v>
      </c>
      <c r="L11" s="53">
        <f t="shared" si="4"/>
        <v>62778.040530000006</v>
      </c>
      <c r="M11" s="53">
        <f t="shared" si="4"/>
        <v>6691.37</v>
      </c>
      <c r="N11" s="53">
        <f t="shared" si="4"/>
        <v>56086.670530000003</v>
      </c>
      <c r="O11" s="53">
        <f t="shared" si="4"/>
        <v>0</v>
      </c>
      <c r="P11" s="53">
        <f>P122</f>
        <v>0</v>
      </c>
      <c r="Q11" s="53">
        <f t="shared" si="4"/>
        <v>56086.670530000003</v>
      </c>
      <c r="S11" s="18">
        <f>SUM(L17:L23)</f>
        <v>4457873.2116179997</v>
      </c>
      <c r="T11" s="53">
        <f>SUM(Q17:Q23)</f>
        <v>3394742.3316179998</v>
      </c>
      <c r="W11" s="285" t="s">
        <v>19</v>
      </c>
      <c r="X11" s="284">
        <f>Q34+Q62+Q81+Q93+Q107+Q119+Q131+Q143+Q155+Q167+Q179+Q191+Q203+Q215+Q227+Q239+Q251+Q263</f>
        <v>4506524.04</v>
      </c>
      <c r="Y11" s="390" t="s">
        <v>461</v>
      </c>
    </row>
    <row r="12" spans="1:25">
      <c r="A12" s="49" t="str">
        <f>A125</f>
        <v>GABBS TOWN</v>
      </c>
      <c r="B12" s="48">
        <f t="shared" ref="B12:Q12" si="5">B134</f>
        <v>0.48459999999999998</v>
      </c>
      <c r="C12" s="48">
        <f t="shared" si="5"/>
        <v>0</v>
      </c>
      <c r="D12" s="43">
        <f t="shared" si="5"/>
        <v>242</v>
      </c>
      <c r="E12" s="173"/>
      <c r="F12" s="43">
        <f t="shared" si="5"/>
        <v>12955451.130000001</v>
      </c>
      <c r="G12" s="53">
        <f t="shared" si="5"/>
        <v>11320.879508</v>
      </c>
      <c r="H12" s="53">
        <f t="shared" si="5"/>
        <v>51692.215758000006</v>
      </c>
      <c r="I12" s="53">
        <f t="shared" si="5"/>
        <v>0</v>
      </c>
      <c r="J12" s="53">
        <f t="shared" si="5"/>
        <v>383.74</v>
      </c>
      <c r="K12" s="53">
        <f t="shared" si="5"/>
        <v>528.99</v>
      </c>
      <c r="L12" s="53">
        <f t="shared" si="5"/>
        <v>63158.345266000004</v>
      </c>
      <c r="M12" s="53">
        <f t="shared" si="5"/>
        <v>5938</v>
      </c>
      <c r="N12" s="53">
        <f t="shared" si="5"/>
        <v>57220.345266000004</v>
      </c>
      <c r="O12" s="53">
        <f t="shared" si="5"/>
        <v>0</v>
      </c>
      <c r="P12" s="53">
        <f>P134</f>
        <v>0</v>
      </c>
      <c r="Q12" s="53">
        <f t="shared" si="5"/>
        <v>57220.345266000004</v>
      </c>
      <c r="W12" s="285" t="s">
        <v>20</v>
      </c>
      <c r="X12" s="284">
        <f>Q35+Q63+Q82+Q94+Q108+Q120+Q132+Q144+Q156+Q168+Q180+Q192+Q204++Q216+Q228+Q240+Q252+Q264</f>
        <v>998199.84000000008</v>
      </c>
      <c r="Y12" s="390" t="s">
        <v>461</v>
      </c>
    </row>
    <row r="13" spans="1:25">
      <c r="A13" s="49" t="str">
        <f>A137</f>
        <v>MANHATTAN TOWN</v>
      </c>
      <c r="B13" s="48">
        <f t="shared" ref="B13:Q13" si="6">B146</f>
        <v>0.31640000000000001</v>
      </c>
      <c r="C13" s="48">
        <f t="shared" si="6"/>
        <v>0</v>
      </c>
      <c r="D13" s="43">
        <f t="shared" si="6"/>
        <v>220</v>
      </c>
      <c r="E13" s="173"/>
      <c r="F13" s="43">
        <f t="shared" si="6"/>
        <v>3516926.19</v>
      </c>
      <c r="G13" s="53">
        <f t="shared" si="6"/>
        <v>1040.038268</v>
      </c>
      <c r="H13" s="53">
        <f t="shared" si="6"/>
        <v>10087.859444</v>
      </c>
      <c r="I13" s="53">
        <f t="shared" si="6"/>
        <v>0</v>
      </c>
      <c r="J13" s="53">
        <f t="shared" si="6"/>
        <v>88.22</v>
      </c>
      <c r="K13" s="53">
        <f t="shared" si="6"/>
        <v>0</v>
      </c>
      <c r="L13" s="53">
        <f t="shared" si="6"/>
        <v>11039.677712000002</v>
      </c>
      <c r="M13" s="53">
        <f t="shared" si="6"/>
        <v>837.38</v>
      </c>
      <c r="N13" s="53">
        <f t="shared" si="6"/>
        <v>10202.297712</v>
      </c>
      <c r="O13" s="53">
        <f t="shared" si="6"/>
        <v>0</v>
      </c>
      <c r="P13" s="53">
        <f>P146</f>
        <v>0</v>
      </c>
      <c r="Q13" s="53">
        <f t="shared" si="6"/>
        <v>10202.297712</v>
      </c>
      <c r="W13" s="174"/>
      <c r="X13" s="284"/>
    </row>
    <row r="14" spans="1:25">
      <c r="A14" s="49" t="str">
        <f>A149</f>
        <v>PAHRUMP TOWN</v>
      </c>
      <c r="B14" s="48">
        <f t="shared" ref="B14:Q14" si="7">B158</f>
        <v>0.44169999999999998</v>
      </c>
      <c r="C14" s="48">
        <f t="shared" si="7"/>
        <v>0</v>
      </c>
      <c r="D14" s="43">
        <f t="shared" si="7"/>
        <v>51364</v>
      </c>
      <c r="E14" s="173"/>
      <c r="F14" s="43">
        <f t="shared" si="7"/>
        <v>1808872140.5300817</v>
      </c>
      <c r="G14" s="53">
        <f t="shared" si="7"/>
        <v>338571.31307599996</v>
      </c>
      <c r="H14" s="53">
        <f t="shared" si="7"/>
        <v>7761830.3905560002</v>
      </c>
      <c r="I14" s="53">
        <f t="shared" si="7"/>
        <v>0</v>
      </c>
      <c r="J14" s="53">
        <f t="shared" si="7"/>
        <v>112863.79</v>
      </c>
      <c r="K14" s="53">
        <f t="shared" si="7"/>
        <v>159</v>
      </c>
      <c r="L14" s="53">
        <f t="shared" si="7"/>
        <v>7987696.9136320008</v>
      </c>
      <c r="M14" s="53">
        <f t="shared" si="7"/>
        <v>1658191.42</v>
      </c>
      <c r="N14" s="53">
        <f t="shared" si="7"/>
        <v>6329505.4936320009</v>
      </c>
      <c r="O14" s="53">
        <f t="shared" si="7"/>
        <v>0</v>
      </c>
      <c r="P14" s="53">
        <f>P158</f>
        <v>19959.13</v>
      </c>
      <c r="Q14" s="53">
        <f t="shared" si="7"/>
        <v>6309546.363632001</v>
      </c>
      <c r="W14" s="174"/>
      <c r="X14" s="284">
        <f>Q37+Q65+Q84+Q96+Q110+Q122+Q134+Q146+Q158+Q170+Q182+Q194+Q206+Q218+Q230+Q242+Q254+Q266</f>
        <v>67588631.27184999</v>
      </c>
    </row>
    <row r="15" spans="1:25">
      <c r="A15" s="49" t="str">
        <f>A161</f>
        <v>ROUND MOUNTAIN TOWN</v>
      </c>
      <c r="B15" s="48">
        <f t="shared" ref="B15:Q15" si="8">B170</f>
        <v>0.31640000000000001</v>
      </c>
      <c r="C15" s="48">
        <f t="shared" si="8"/>
        <v>0</v>
      </c>
      <c r="D15" s="43">
        <f t="shared" si="8"/>
        <v>588</v>
      </c>
      <c r="E15" s="173"/>
      <c r="F15" s="43">
        <f t="shared" si="8"/>
        <v>233575896.43000001</v>
      </c>
      <c r="G15" s="53">
        <f t="shared" si="8"/>
        <v>35878.575884000005</v>
      </c>
      <c r="H15" s="53">
        <f t="shared" si="8"/>
        <v>703208.64291200007</v>
      </c>
      <c r="I15" s="53">
        <f t="shared" si="8"/>
        <v>0</v>
      </c>
      <c r="J15" s="53">
        <f t="shared" si="8"/>
        <v>219.32</v>
      </c>
      <c r="K15" s="53">
        <f t="shared" si="8"/>
        <v>0</v>
      </c>
      <c r="L15" s="53">
        <f t="shared" si="8"/>
        <v>738867.89879600005</v>
      </c>
      <c r="M15" s="53">
        <f t="shared" si="8"/>
        <v>178694.31</v>
      </c>
      <c r="N15" s="53">
        <f t="shared" si="8"/>
        <v>560173.58879600011</v>
      </c>
      <c r="O15" s="53">
        <f t="shared" si="8"/>
        <v>0</v>
      </c>
      <c r="P15" s="53">
        <f>P170</f>
        <v>0</v>
      </c>
      <c r="Q15" s="53">
        <f t="shared" si="8"/>
        <v>560173.58879600011</v>
      </c>
    </row>
    <row r="16" spans="1:25">
      <c r="A16" s="49" t="str">
        <f>A173</f>
        <v>TONOPAH TOWN</v>
      </c>
      <c r="B16" s="48">
        <f t="shared" ref="B16:Q16" si="9">B182</f>
        <v>0.40820000000000001</v>
      </c>
      <c r="C16" s="48">
        <f t="shared" si="9"/>
        <v>0</v>
      </c>
      <c r="D16" s="43">
        <f t="shared" si="9"/>
        <v>1550</v>
      </c>
      <c r="E16" s="173"/>
      <c r="F16" s="43">
        <f t="shared" si="9"/>
        <v>88419108.272827059</v>
      </c>
      <c r="G16" s="53">
        <f t="shared" si="9"/>
        <v>16793.061356000002</v>
      </c>
      <c r="H16" s="53">
        <f t="shared" si="9"/>
        <v>345139.323776</v>
      </c>
      <c r="I16" s="53">
        <f t="shared" si="9"/>
        <v>0</v>
      </c>
      <c r="J16" s="53">
        <f t="shared" si="9"/>
        <v>1621.33</v>
      </c>
      <c r="K16" s="53">
        <f t="shared" si="9"/>
        <v>4.25</v>
      </c>
      <c r="L16" s="53">
        <f t="shared" si="9"/>
        <v>360315.30513200001</v>
      </c>
      <c r="M16" s="53">
        <f t="shared" si="9"/>
        <v>82247.75</v>
      </c>
      <c r="N16" s="53">
        <f t="shared" si="9"/>
        <v>278067.55513200001</v>
      </c>
      <c r="O16" s="53">
        <f t="shared" si="9"/>
        <v>0</v>
      </c>
      <c r="P16" s="53">
        <f>P182</f>
        <v>98087.78</v>
      </c>
      <c r="Q16" s="53">
        <f t="shared" si="9"/>
        <v>179979.77513199998</v>
      </c>
    </row>
    <row r="17" spans="1:23">
      <c r="A17" s="49" t="str">
        <f>A185</f>
        <v>AMARGOSA LIBRARY DISTRICT</v>
      </c>
      <c r="B17" s="48">
        <f t="shared" ref="B17:Q17" si="10">B194</f>
        <v>0.31</v>
      </c>
      <c r="C17" s="48">
        <f t="shared" si="10"/>
        <v>0</v>
      </c>
      <c r="D17" s="43">
        <f t="shared" si="10"/>
        <v>2145</v>
      </c>
      <c r="E17" s="173"/>
      <c r="F17" s="43">
        <f t="shared" si="10"/>
        <v>82978051.978064507</v>
      </c>
      <c r="G17" s="53">
        <f t="shared" si="10"/>
        <v>14376.762999999999</v>
      </c>
      <c r="H17" s="53">
        <f t="shared" si="10"/>
        <v>243606.7163</v>
      </c>
      <c r="I17" s="53">
        <f t="shared" si="10"/>
        <v>0</v>
      </c>
      <c r="J17" s="53">
        <f t="shared" si="10"/>
        <v>1763.74</v>
      </c>
      <c r="K17" s="53">
        <f t="shared" si="10"/>
        <v>0</v>
      </c>
      <c r="L17" s="53">
        <f t="shared" si="10"/>
        <v>256219.73930000002</v>
      </c>
      <c r="M17" s="53">
        <f t="shared" si="10"/>
        <v>14644.789999999999</v>
      </c>
      <c r="N17" s="53">
        <f t="shared" si="10"/>
        <v>241574.94929999998</v>
      </c>
      <c r="O17" s="53">
        <f t="shared" si="10"/>
        <v>0</v>
      </c>
      <c r="P17" s="53">
        <f>P194</f>
        <v>40127.06</v>
      </c>
      <c r="Q17" s="53">
        <f t="shared" si="10"/>
        <v>201447.88929999998</v>
      </c>
    </row>
    <row r="18" spans="1:23">
      <c r="A18" s="49" t="str">
        <f>A197</f>
        <v>BEATTY LIBRARY DISTRICT</v>
      </c>
      <c r="B18" s="48">
        <f t="shared" ref="B18:Q18" si="11">+B206</f>
        <v>0.32</v>
      </c>
      <c r="C18" s="48">
        <f t="shared" si="11"/>
        <v>0</v>
      </c>
      <c r="D18" s="43">
        <f t="shared" si="11"/>
        <v>830</v>
      </c>
      <c r="E18" s="173"/>
      <c r="F18" s="43">
        <f t="shared" si="11"/>
        <v>32917827.18</v>
      </c>
      <c r="G18" s="53">
        <f t="shared" si="11"/>
        <v>11662.704400000001</v>
      </c>
      <c r="H18" s="53">
        <f t="shared" si="11"/>
        <v>94474.296000000002</v>
      </c>
      <c r="I18" s="53">
        <f t="shared" si="11"/>
        <v>0</v>
      </c>
      <c r="J18" s="53">
        <f t="shared" si="11"/>
        <v>1291.4000000000001</v>
      </c>
      <c r="K18" s="53">
        <f t="shared" si="11"/>
        <v>0</v>
      </c>
      <c r="L18" s="53">
        <f t="shared" si="11"/>
        <v>104845.60040000001</v>
      </c>
      <c r="M18" s="53">
        <f t="shared" si="11"/>
        <v>11675.869999999999</v>
      </c>
      <c r="N18" s="53">
        <f t="shared" si="11"/>
        <v>93169.730400000015</v>
      </c>
      <c r="O18" s="53">
        <f t="shared" si="11"/>
        <v>0</v>
      </c>
      <c r="P18" s="53">
        <f>+P206</f>
        <v>0</v>
      </c>
      <c r="Q18" s="53">
        <f t="shared" si="11"/>
        <v>93169.730400000015</v>
      </c>
      <c r="W18" s="53">
        <f>+X7-39568585.27</f>
        <v>15426116.740000002</v>
      </c>
    </row>
    <row r="19" spans="1:23">
      <c r="A19" s="49" t="str">
        <f>A209</f>
        <v>NYE COUNTY HOSPITAL DISTRICT</v>
      </c>
      <c r="B19" s="48">
        <f t="shared" ref="B19:Q19" si="12">B218</f>
        <v>0.2</v>
      </c>
      <c r="C19" s="48">
        <f t="shared" si="12"/>
        <v>0</v>
      </c>
      <c r="D19" s="43">
        <f t="shared" si="12"/>
        <v>3996</v>
      </c>
      <c r="E19" s="173"/>
      <c r="F19" s="43">
        <f t="shared" si="12"/>
        <v>575872907.11000001</v>
      </c>
      <c r="G19" s="53">
        <f t="shared" si="12"/>
        <v>278529.24599999998</v>
      </c>
      <c r="H19" s="53">
        <f t="shared" si="12"/>
        <v>874333.87199999997</v>
      </c>
      <c r="I19" s="53">
        <f t="shared" si="12"/>
        <v>0</v>
      </c>
      <c r="J19" s="53">
        <f t="shared" si="12"/>
        <v>140719.92000000001</v>
      </c>
      <c r="K19" s="53">
        <f t="shared" si="12"/>
        <v>232.15</v>
      </c>
      <c r="L19" s="53">
        <f t="shared" si="12"/>
        <v>1012375.348</v>
      </c>
      <c r="M19" s="53">
        <f t="shared" si="12"/>
        <v>190497.16999999998</v>
      </c>
      <c r="N19" s="53">
        <f t="shared" si="12"/>
        <v>821878.17799999996</v>
      </c>
      <c r="O19" s="53">
        <f t="shared" si="12"/>
        <v>0</v>
      </c>
      <c r="P19" s="53">
        <f>P218</f>
        <v>72972.77</v>
      </c>
      <c r="Q19" s="53">
        <f t="shared" si="12"/>
        <v>748905.40800000005</v>
      </c>
    </row>
    <row r="20" spans="1:23">
      <c r="A20" s="49" t="str">
        <f>A221</f>
        <v>PAHRUMP COMMUNITY LIBRARY DISTRICT</v>
      </c>
      <c r="B20" s="48">
        <f t="shared" ref="B20:Q20" si="13">B230</f>
        <v>9.9400000000000002E-2</v>
      </c>
      <c r="C20" s="48">
        <f t="shared" si="13"/>
        <v>0</v>
      </c>
      <c r="D20" s="43">
        <f t="shared" si="13"/>
        <v>51364</v>
      </c>
      <c r="E20" s="173"/>
      <c r="F20" s="43">
        <f t="shared" si="13"/>
        <v>1808874803.2322938</v>
      </c>
      <c r="G20" s="53">
        <f t="shared" si="13"/>
        <v>76191.958631999994</v>
      </c>
      <c r="H20" s="53">
        <f t="shared" si="13"/>
        <v>1746730.663992</v>
      </c>
      <c r="I20" s="53">
        <f t="shared" si="13"/>
        <v>0</v>
      </c>
      <c r="J20" s="53">
        <f t="shared" si="13"/>
        <v>25399.69</v>
      </c>
      <c r="K20" s="53">
        <f t="shared" si="13"/>
        <v>32.15</v>
      </c>
      <c r="L20" s="53">
        <f t="shared" si="13"/>
        <v>1797555.0826240003</v>
      </c>
      <c r="M20" s="53">
        <f t="shared" si="13"/>
        <v>389337.44</v>
      </c>
      <c r="N20" s="53">
        <f t="shared" si="13"/>
        <v>1408217.6426240003</v>
      </c>
      <c r="O20" s="53">
        <f t="shared" si="13"/>
        <v>0</v>
      </c>
      <c r="P20" s="53">
        <f>P230</f>
        <v>4514.1899999999996</v>
      </c>
      <c r="Q20" s="53">
        <f t="shared" si="13"/>
        <v>1403703.4526240001</v>
      </c>
    </row>
    <row r="21" spans="1:23">
      <c r="A21" s="49" t="str">
        <f>A233</f>
        <v>PAHRUMP SWIMMING POOL DISTRICT</v>
      </c>
      <c r="B21" s="48">
        <f t="shared" ref="B21:O21" si="14">B242</f>
        <v>1.6299999999999999E-2</v>
      </c>
      <c r="C21" s="48">
        <f t="shared" si="14"/>
        <v>0</v>
      </c>
      <c r="D21" s="43">
        <f t="shared" si="14"/>
        <v>51364</v>
      </c>
      <c r="E21" s="173"/>
      <c r="F21" s="43">
        <f t="shared" ref="F21:N21" si="15">F242</f>
        <v>1808874842.6244783</v>
      </c>
      <c r="G21" s="18">
        <f t="shared" si="15"/>
        <v>12494.251163999999</v>
      </c>
      <c r="H21" s="18">
        <f t="shared" si="15"/>
        <v>286411.70888400002</v>
      </c>
      <c r="I21" s="18">
        <f t="shared" si="15"/>
        <v>0</v>
      </c>
      <c r="J21" s="18">
        <f t="shared" si="15"/>
        <v>4163.7700000000004</v>
      </c>
      <c r="K21" s="18">
        <f t="shared" si="15"/>
        <v>3.05</v>
      </c>
      <c r="L21" s="18">
        <f t="shared" si="15"/>
        <v>294745.24004800001</v>
      </c>
      <c r="M21" s="18">
        <f t="shared" si="15"/>
        <v>61727.92</v>
      </c>
      <c r="N21" s="503">
        <f t="shared" si="15"/>
        <v>233017.32004799994</v>
      </c>
      <c r="O21" s="53">
        <f t="shared" si="14"/>
        <v>0</v>
      </c>
      <c r="P21" s="53">
        <f>P242</f>
        <v>736.55</v>
      </c>
      <c r="Q21" s="18">
        <f>Q242</f>
        <v>232280.77004799995</v>
      </c>
    </row>
    <row r="22" spans="1:23">
      <c r="A22" s="49" t="str">
        <f>A245</f>
        <v>SMOKY VALLEY LIBRARY DISTRICT</v>
      </c>
      <c r="B22" s="48">
        <f t="shared" ref="B22:Q22" si="16">B254</f>
        <v>0.2918</v>
      </c>
      <c r="C22" s="48">
        <f t="shared" si="16"/>
        <v>0</v>
      </c>
      <c r="D22" s="43">
        <f t="shared" si="16"/>
        <v>1431</v>
      </c>
      <c r="E22" s="173"/>
      <c r="F22" s="43">
        <f t="shared" si="16"/>
        <v>268827140.58999997</v>
      </c>
      <c r="G22" s="53">
        <f t="shared" si="16"/>
        <v>40811.615912000001</v>
      </c>
      <c r="H22" s="53">
        <f t="shared" si="16"/>
        <v>743932.20533399994</v>
      </c>
      <c r="I22" s="53">
        <f t="shared" si="16"/>
        <v>0</v>
      </c>
      <c r="J22" s="53">
        <f t="shared" si="16"/>
        <v>1406.8700000000001</v>
      </c>
      <c r="K22" s="53">
        <f t="shared" si="16"/>
        <v>16.739999999999998</v>
      </c>
      <c r="L22" s="53">
        <f t="shared" si="16"/>
        <v>783353.69124599989</v>
      </c>
      <c r="M22" s="53">
        <f t="shared" si="16"/>
        <v>184553.07</v>
      </c>
      <c r="N22" s="53">
        <f t="shared" si="16"/>
        <v>598800.62124600005</v>
      </c>
      <c r="O22" s="53">
        <f t="shared" si="16"/>
        <v>0</v>
      </c>
      <c r="P22" s="53">
        <f>P254</f>
        <v>0</v>
      </c>
      <c r="Q22" s="53">
        <f t="shared" si="16"/>
        <v>598800.62124600005</v>
      </c>
    </row>
    <row r="23" spans="1:23">
      <c r="A23" s="49" t="str">
        <f>A257</f>
        <v>TONOPAH LIBRARY DISTRICT</v>
      </c>
      <c r="B23" s="48">
        <f t="shared" ref="B23:Q23" si="17">B266</f>
        <v>0.2</v>
      </c>
      <c r="C23" s="48">
        <f t="shared" si="17"/>
        <v>0</v>
      </c>
      <c r="D23" s="43">
        <f t="shared" si="17"/>
        <v>1780</v>
      </c>
      <c r="E23" s="173"/>
      <c r="F23" s="43">
        <f t="shared" si="17"/>
        <v>104924256.33999999</v>
      </c>
      <c r="G23" s="53">
        <f t="shared" si="17"/>
        <v>13455.644</v>
      </c>
      <c r="H23" s="53">
        <f t="shared" si="17"/>
        <v>196922.99600000001</v>
      </c>
      <c r="I23" s="53">
        <f t="shared" si="17"/>
        <v>0</v>
      </c>
      <c r="J23" s="53">
        <f t="shared" si="17"/>
        <v>1602.21</v>
      </c>
      <c r="K23" s="53">
        <f t="shared" si="17"/>
        <v>2.08</v>
      </c>
      <c r="L23" s="53">
        <f t="shared" si="17"/>
        <v>208778.50999999998</v>
      </c>
      <c r="M23" s="53">
        <f t="shared" si="17"/>
        <v>44285.369999999995</v>
      </c>
      <c r="N23" s="53">
        <f t="shared" si="17"/>
        <v>164493.13999999998</v>
      </c>
      <c r="O23" s="53">
        <f t="shared" si="17"/>
        <v>0</v>
      </c>
      <c r="P23" s="53">
        <f>P266</f>
        <v>48058.68</v>
      </c>
      <c r="Q23" s="53">
        <f t="shared" si="17"/>
        <v>116434.46</v>
      </c>
    </row>
    <row r="24" spans="1:23">
      <c r="A24" s="57"/>
      <c r="B24" s="51"/>
      <c r="C24" s="51"/>
      <c r="D24" s="52"/>
      <c r="E24" s="203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23" ht="13.5" thickBot="1">
      <c r="A25" s="57" t="s">
        <v>14</v>
      </c>
      <c r="B25" s="51"/>
      <c r="C25" s="51"/>
      <c r="D25" s="69">
        <f>D7</f>
        <v>58339</v>
      </c>
      <c r="E25" s="204"/>
      <c r="F25" s="69">
        <f>F7</f>
        <v>2524073747.8958821</v>
      </c>
      <c r="G25" s="70">
        <f t="shared" ref="G25:Q25" si="18">SUM(G7:G24)</f>
        <v>7241450.3073329981</v>
      </c>
      <c r="H25" s="70">
        <f t="shared" si="18"/>
        <v>82055078.494517013</v>
      </c>
      <c r="I25" s="70">
        <f t="shared" si="18"/>
        <v>0</v>
      </c>
      <c r="J25" s="70">
        <f t="shared" si="18"/>
        <v>3057066.5400000005</v>
      </c>
      <c r="K25" s="70">
        <f t="shared" si="18"/>
        <v>5287.1699999999992</v>
      </c>
      <c r="L25" s="70">
        <f t="shared" si="18"/>
        <v>86244749.431850031</v>
      </c>
      <c r="M25" s="70">
        <f t="shared" si="18"/>
        <v>16513093.039999999</v>
      </c>
      <c r="N25" s="70">
        <f t="shared" si="18"/>
        <v>69731656.39185001</v>
      </c>
      <c r="O25" s="70">
        <f t="shared" si="18"/>
        <v>0</v>
      </c>
      <c r="P25" s="70">
        <f t="shared" si="18"/>
        <v>2143025.12</v>
      </c>
      <c r="Q25" s="70">
        <f t="shared" si="18"/>
        <v>67588631.27184999</v>
      </c>
    </row>
    <row r="26" spans="1:23" ht="13.5" thickBot="1">
      <c r="A26" s="60"/>
      <c r="B26" s="61"/>
      <c r="C26" s="61"/>
      <c r="D26" s="62"/>
      <c r="E26" s="215"/>
      <c r="F26" s="62"/>
      <c r="G26" s="63"/>
      <c r="H26" s="63"/>
      <c r="I26" s="63"/>
      <c r="J26" s="63"/>
      <c r="K26" s="63"/>
      <c r="L26" s="279" t="s">
        <v>388</v>
      </c>
      <c r="M26" s="280">
        <f>M25/L25</f>
        <v>0.19146780701181726</v>
      </c>
      <c r="N26" s="63"/>
      <c r="O26" s="63"/>
      <c r="P26" s="63"/>
      <c r="Q26" s="63"/>
    </row>
    <row r="27" spans="1:23">
      <c r="A27" s="50"/>
      <c r="B27" s="51"/>
      <c r="C27" s="51"/>
      <c r="D27" s="52"/>
      <c r="E27" s="203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23">
      <c r="A28" s="54" t="s">
        <v>11</v>
      </c>
      <c r="B28" s="51"/>
      <c r="C28" s="51"/>
      <c r="D28" s="52"/>
      <c r="E28" s="203"/>
      <c r="F28" s="52"/>
      <c r="G28" s="64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1:23">
      <c r="A29" s="47"/>
      <c r="B29" s="48"/>
      <c r="C29" s="48"/>
      <c r="D29" s="43"/>
      <c r="E29" s="65">
        <v>78027607</v>
      </c>
      <c r="F29" s="4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</row>
    <row r="30" spans="1:23">
      <c r="A30" s="49" t="s">
        <v>15</v>
      </c>
      <c r="B30" s="48">
        <v>0.17</v>
      </c>
      <c r="C30" s="48">
        <v>0</v>
      </c>
      <c r="D30" s="43">
        <v>58339</v>
      </c>
      <c r="E30" s="173">
        <f>G30/B30*100</f>
        <v>30699235.294117644</v>
      </c>
      <c r="F30" s="43">
        <v>2047190541</v>
      </c>
      <c r="G30" s="53">
        <v>52188.7</v>
      </c>
      <c r="H30" s="53">
        <v>3472132.74</v>
      </c>
      <c r="I30" s="53">
        <v>0</v>
      </c>
      <c r="J30" s="53">
        <v>43610.99</v>
      </c>
      <c r="K30" s="53">
        <v>255.38</v>
      </c>
      <c r="L30" s="53">
        <f>G30+H30+I30-J30+K30</f>
        <v>3480965.83</v>
      </c>
      <c r="M30" s="53">
        <v>738146.81</v>
      </c>
      <c r="N30" s="53">
        <f>L30-M30</f>
        <v>2742819.02</v>
      </c>
      <c r="O30" s="53">
        <v>0</v>
      </c>
      <c r="P30" s="53">
        <v>0</v>
      </c>
      <c r="Q30" s="53">
        <f>N30-O30-P30</f>
        <v>2742819.02</v>
      </c>
    </row>
    <row r="31" spans="1:23">
      <c r="A31" s="47" t="s">
        <v>16</v>
      </c>
      <c r="B31" s="48">
        <f>B30</f>
        <v>0.17</v>
      </c>
      <c r="C31" s="48"/>
      <c r="D31" s="43"/>
      <c r="E31" s="173">
        <v>30662887</v>
      </c>
      <c r="F31" s="65">
        <f>IF(E29&gt;E30,E29-E30,0)</f>
        <v>47328371.705882356</v>
      </c>
      <c r="G31" s="53">
        <f>F31*(B31-C31)/100</f>
        <v>80458.231900000013</v>
      </c>
      <c r="H31" s="53"/>
      <c r="I31" s="53">
        <f>F31*C31/100</f>
        <v>0</v>
      </c>
      <c r="J31" s="53"/>
      <c r="K31" s="53"/>
      <c r="L31" s="53">
        <f>G31+H31+I31-J31+K31</f>
        <v>80458.231900000013</v>
      </c>
      <c r="M31" s="53"/>
      <c r="N31" s="53">
        <f>L31-M31</f>
        <v>80458.231900000013</v>
      </c>
      <c r="O31" s="53"/>
      <c r="P31" s="53"/>
      <c r="Q31" s="53">
        <f>N31-O31-P31</f>
        <v>80458.231900000013</v>
      </c>
      <c r="S31" s="14" t="s">
        <v>471</v>
      </c>
      <c r="U31" s="53">
        <f>+P32+P60+P79+P91+P105+P153+P177+P189+P213+P225+P261</f>
        <v>1219726.2999999998</v>
      </c>
      <c r="W31" s="53">
        <f>+P94+P82</f>
        <v>53.51</v>
      </c>
    </row>
    <row r="32" spans="1:23">
      <c r="A32" s="47" t="s">
        <v>17</v>
      </c>
      <c r="B32" s="48">
        <f>B30</f>
        <v>0.17</v>
      </c>
      <c r="C32" s="48"/>
      <c r="D32" s="43"/>
      <c r="E32" s="173"/>
      <c r="F32" s="66">
        <v>207075199</v>
      </c>
      <c r="G32" s="53"/>
      <c r="H32" s="53">
        <f>F32*(B32-C32)/100</f>
        <v>352027.83830000006</v>
      </c>
      <c r="I32" s="53">
        <f>F32*C32/100</f>
        <v>0</v>
      </c>
      <c r="J32" s="53">
        <v>0</v>
      </c>
      <c r="K32" s="53">
        <v>0</v>
      </c>
      <c r="L32" s="53">
        <f>G32+H32+I32-J32+K32</f>
        <v>352027.83830000006</v>
      </c>
      <c r="M32" s="53">
        <v>0</v>
      </c>
      <c r="N32" s="53">
        <f>L32-M32</f>
        <v>352027.83830000006</v>
      </c>
      <c r="O32" s="53">
        <v>0</v>
      </c>
      <c r="P32" s="320">
        <v>62339.61</v>
      </c>
      <c r="Q32" s="53">
        <f>N32-O32-P32</f>
        <v>289688.22830000008</v>
      </c>
    </row>
    <row r="33" spans="1:22">
      <c r="A33" s="47" t="s">
        <v>18</v>
      </c>
      <c r="B33" s="48"/>
      <c r="C33" s="48"/>
      <c r="D33" s="43"/>
      <c r="E33" s="173"/>
      <c r="F33" s="4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1:22">
      <c r="A34" s="67" t="s">
        <v>19</v>
      </c>
      <c r="B34" s="48">
        <f>B30</f>
        <v>0.17</v>
      </c>
      <c r="C34" s="48"/>
      <c r="D34" s="43"/>
      <c r="E34" s="173"/>
      <c r="F34" s="43">
        <v>192878503.41</v>
      </c>
      <c r="G34" s="53">
        <v>196574.01</v>
      </c>
      <c r="H34" s="53">
        <v>252411.07</v>
      </c>
      <c r="I34" s="53">
        <v>0</v>
      </c>
      <c r="J34" s="53">
        <v>121091.64</v>
      </c>
      <c r="K34" s="53">
        <v>0</v>
      </c>
      <c r="L34" s="53">
        <f>G34+H34+I34-J34+K34</f>
        <v>327893.44</v>
      </c>
      <c r="M34" s="53">
        <v>72798.78</v>
      </c>
      <c r="N34" s="53">
        <f>L34-M34</f>
        <v>255094.66</v>
      </c>
      <c r="O34" s="53">
        <v>0</v>
      </c>
      <c r="P34" s="53">
        <v>14188.21</v>
      </c>
      <c r="Q34" s="53">
        <f>N34-O34-P34</f>
        <v>240906.45</v>
      </c>
    </row>
    <row r="35" spans="1:22">
      <c r="A35" s="67" t="s">
        <v>20</v>
      </c>
      <c r="B35" s="48">
        <f>B30</f>
        <v>0.17</v>
      </c>
      <c r="C35" s="48"/>
      <c r="D35" s="43"/>
      <c r="E35" s="173"/>
      <c r="F35" s="43">
        <v>29601132.780000001</v>
      </c>
      <c r="G35" s="53">
        <v>50266.03</v>
      </c>
      <c r="H35" s="53">
        <v>55.88</v>
      </c>
      <c r="I35" s="53">
        <v>0</v>
      </c>
      <c r="J35" s="53">
        <v>0</v>
      </c>
      <c r="K35" s="53">
        <v>0</v>
      </c>
      <c r="L35" s="53">
        <f>G35+H35+I35-J35+K35</f>
        <v>50321.909999999996</v>
      </c>
      <c r="M35" s="53">
        <v>0</v>
      </c>
      <c r="N35" s="53">
        <f>L35-M35</f>
        <v>50321.909999999996</v>
      </c>
      <c r="O35" s="53">
        <v>0</v>
      </c>
      <c r="P35" s="53">
        <v>6.81</v>
      </c>
      <c r="Q35" s="53">
        <f>N35-O35-P35</f>
        <v>50315.1</v>
      </c>
    </row>
    <row r="36" spans="1:22">
      <c r="A36" s="47"/>
      <c r="B36" s="48"/>
      <c r="C36" s="48"/>
      <c r="D36" s="43"/>
      <c r="E36" s="173"/>
      <c r="F36" s="4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</row>
    <row r="37" spans="1:22" s="50" customFormat="1" ht="13.5" thickBot="1">
      <c r="A37" s="60" t="str">
        <f>"TOTAL "&amp;A28</f>
        <v>TOTAL STATE OF NEVADA</v>
      </c>
      <c r="B37" s="68">
        <f>B30</f>
        <v>0.17</v>
      </c>
      <c r="C37" s="68">
        <f>C30</f>
        <v>0</v>
      </c>
      <c r="D37" s="69">
        <f t="shared" ref="D37:Q37" si="19">SUM(D30:D32,D34:D35)</f>
        <v>58339</v>
      </c>
      <c r="E37" s="204"/>
      <c r="F37" s="69">
        <f t="shared" si="19"/>
        <v>2524073747.8958821</v>
      </c>
      <c r="G37" s="70">
        <f t="shared" si="19"/>
        <v>379486.9719</v>
      </c>
      <c r="H37" s="70">
        <f t="shared" si="19"/>
        <v>4076627.5282999999</v>
      </c>
      <c r="I37" s="70">
        <f t="shared" si="19"/>
        <v>0</v>
      </c>
      <c r="J37" s="70">
        <f t="shared" si="19"/>
        <v>164702.63</v>
      </c>
      <c r="K37" s="70">
        <f t="shared" si="19"/>
        <v>255.38</v>
      </c>
      <c r="L37" s="70">
        <f t="shared" si="19"/>
        <v>4291667.2502000006</v>
      </c>
      <c r="M37" s="70">
        <f t="shared" si="19"/>
        <v>810945.59000000008</v>
      </c>
      <c r="N37" s="70">
        <f t="shared" si="19"/>
        <v>3480721.6602000003</v>
      </c>
      <c r="O37" s="70">
        <f t="shared" si="19"/>
        <v>0</v>
      </c>
      <c r="P37" s="70">
        <f t="shared" si="19"/>
        <v>76534.63</v>
      </c>
      <c r="Q37" s="70">
        <f t="shared" si="19"/>
        <v>3404187.0302000004</v>
      </c>
    </row>
    <row r="38" spans="1:22">
      <c r="A38" s="150" t="s">
        <v>355</v>
      </c>
      <c r="B38" s="48"/>
      <c r="C38" s="48"/>
      <c r="D38" s="43"/>
      <c r="E38" s="173"/>
      <c r="F38" s="64">
        <v>2515761046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</row>
    <row r="39" spans="1:22">
      <c r="A39" s="151" t="s">
        <v>30</v>
      </c>
      <c r="B39" s="51"/>
      <c r="C39" s="51"/>
      <c r="D39" s="52"/>
      <c r="E39" s="203"/>
      <c r="F39" s="152">
        <f>F37-F38</f>
        <v>8312701.8958821297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T39" s="266" t="s">
        <v>378</v>
      </c>
      <c r="U39" s="266" t="s">
        <v>384</v>
      </c>
      <c r="V39" s="266" t="s">
        <v>227</v>
      </c>
    </row>
    <row r="40" spans="1:22">
      <c r="A40" s="54" t="s">
        <v>12</v>
      </c>
      <c r="B40" s="48"/>
      <c r="C40" s="17">
        <f>1.3468-1.3618</f>
        <v>-1.4999999999999902E-2</v>
      </c>
      <c r="D40" s="43"/>
      <c r="E40" s="173"/>
      <c r="F40" s="43"/>
      <c r="G40" s="64"/>
      <c r="H40" s="53"/>
      <c r="I40" s="53"/>
      <c r="J40" s="53"/>
      <c r="K40" s="53"/>
      <c r="L40" s="53"/>
      <c r="M40" s="53"/>
      <c r="N40" s="53"/>
      <c r="O40" s="53"/>
      <c r="P40" s="53"/>
      <c r="Q40" s="53"/>
      <c r="T40" s="266" t="s">
        <v>379</v>
      </c>
      <c r="U40" s="266" t="s">
        <v>385</v>
      </c>
      <c r="V40" s="266" t="s">
        <v>382</v>
      </c>
    </row>
    <row r="41" spans="1:22">
      <c r="A41" s="47"/>
      <c r="B41" s="48"/>
      <c r="C41" s="48"/>
      <c r="D41" s="43"/>
      <c r="E41" s="173"/>
      <c r="F41" s="463">
        <f>(G58+H58)/B58*100</f>
        <v>2088216870.3593712</v>
      </c>
      <c r="G41" s="463"/>
      <c r="H41" s="464">
        <f>F41-J41</f>
        <v>2062563179.3881803</v>
      </c>
      <c r="I41" s="463"/>
      <c r="J41" s="463">
        <f>J58/B58*100</f>
        <v>25653690.971190978</v>
      </c>
      <c r="K41" s="53"/>
      <c r="L41" s="53"/>
      <c r="M41" s="53"/>
      <c r="N41" s="53"/>
      <c r="O41" s="53"/>
      <c r="P41" s="53"/>
      <c r="Q41" s="53"/>
      <c r="T41" s="266"/>
      <c r="U41" s="266" t="s">
        <v>381</v>
      </c>
      <c r="V41" s="266" t="s">
        <v>383</v>
      </c>
    </row>
    <row r="42" spans="1:22">
      <c r="A42" s="49" t="s">
        <v>15</v>
      </c>
      <c r="B42" s="17"/>
      <c r="C42" s="48"/>
      <c r="D42" s="43"/>
      <c r="E42" s="173"/>
      <c r="F42" s="4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T42" s="266"/>
      <c r="U42" s="266"/>
      <c r="V42" s="266"/>
    </row>
    <row r="43" spans="1:22">
      <c r="A43" s="67" t="s">
        <v>61</v>
      </c>
      <c r="B43" s="48">
        <v>1.0469999999999999</v>
      </c>
      <c r="C43" s="48"/>
      <c r="D43" s="43">
        <v>58339</v>
      </c>
      <c r="E43" s="173"/>
      <c r="F43" s="43">
        <v>2047190541</v>
      </c>
      <c r="G43" s="53">
        <v>321413.71999999997</v>
      </c>
      <c r="H43" s="53">
        <v>21587300.59</v>
      </c>
      <c r="I43" s="53">
        <v>0</v>
      </c>
      <c r="J43" s="53">
        <v>268590.37</v>
      </c>
      <c r="K43" s="53">
        <v>1614.48</v>
      </c>
      <c r="L43" s="53">
        <f>G43+H43+I43-J43+K43</f>
        <v>21641738.419999998</v>
      </c>
      <c r="M43" s="53">
        <v>4558925.13</v>
      </c>
      <c r="N43" s="53">
        <f>L43-M43</f>
        <v>17082813.289999999</v>
      </c>
      <c r="O43" s="53">
        <v>0</v>
      </c>
      <c r="P43" s="320">
        <f>49616.65+383938.72</f>
        <v>433555.37</v>
      </c>
      <c r="Q43" s="53">
        <f>N43-O43-P43</f>
        <v>16649257.92</v>
      </c>
      <c r="T43" s="267">
        <f>B43/$B$58</f>
        <v>0.7773982773982776</v>
      </c>
      <c r="U43" s="153">
        <f t="shared" ref="U43:U56" si="20">$T$63*T43</f>
        <v>4158720.3909524633</v>
      </c>
      <c r="V43" s="153">
        <f>Q43+U43</f>
        <v>20807978.310952462</v>
      </c>
    </row>
    <row r="44" spans="1:22">
      <c r="A44" s="67" t="s">
        <v>69</v>
      </c>
      <c r="B44" s="48">
        <v>1.4999999999999999E-2</v>
      </c>
      <c r="C44" s="48"/>
      <c r="D44" s="43">
        <v>58339</v>
      </c>
      <c r="E44" s="173"/>
      <c r="F44" s="43">
        <v>2047190541</v>
      </c>
      <c r="G44" s="53">
        <v>4605.3500000000004</v>
      </c>
      <c r="H44" s="53">
        <v>306338.42</v>
      </c>
      <c r="I44" s="53">
        <v>0</v>
      </c>
      <c r="J44" s="53">
        <v>3849.24</v>
      </c>
      <c r="K44" s="53">
        <v>20.2</v>
      </c>
      <c r="L44" s="53">
        <f t="shared" ref="L44:L56" si="21">G44+H44+I44-J44+K44</f>
        <v>307114.73</v>
      </c>
      <c r="M44" s="53">
        <v>65549.240000000005</v>
      </c>
      <c r="N44" s="53">
        <f t="shared" ref="N44:N56" si="22">L44-M44</f>
        <v>241565.49</v>
      </c>
      <c r="O44" s="53">
        <v>0</v>
      </c>
      <c r="P44" s="320">
        <f>710.85+5500.55</f>
        <v>6211.4000000000005</v>
      </c>
      <c r="Q44" s="53">
        <f t="shared" ref="Q44:Q56" si="23">N44-O44-P44</f>
        <v>235354.09</v>
      </c>
      <c r="T44" s="267">
        <f>B44/$B$58</f>
        <v>1.1137511137511141E-2</v>
      </c>
      <c r="U44" s="153">
        <f t="shared" si="20"/>
        <v>59580.521360350474</v>
      </c>
      <c r="V44" s="153">
        <f t="shared" ref="V44:V56" si="24">Q44+U44</f>
        <v>294934.61136035045</v>
      </c>
    </row>
    <row r="45" spans="1:22">
      <c r="A45" s="67" t="s">
        <v>208</v>
      </c>
      <c r="B45" s="48">
        <v>7.9000000000000001E-2</v>
      </c>
      <c r="C45" s="48"/>
      <c r="D45" s="43">
        <v>58339</v>
      </c>
      <c r="E45" s="173"/>
      <c r="F45" s="43">
        <v>2047190541</v>
      </c>
      <c r="G45" s="53">
        <v>24252.33</v>
      </c>
      <c r="H45" s="53">
        <v>1613524.92</v>
      </c>
      <c r="I45" s="53">
        <v>0</v>
      </c>
      <c r="J45" s="53">
        <v>20270.45</v>
      </c>
      <c r="K45" s="53">
        <v>120.01</v>
      </c>
      <c r="L45" s="53">
        <f t="shared" si="21"/>
        <v>1617626.81</v>
      </c>
      <c r="M45" s="53">
        <v>345114.23</v>
      </c>
      <c r="N45" s="53">
        <f t="shared" si="22"/>
        <v>1272512.58</v>
      </c>
      <c r="O45" s="53">
        <v>0</v>
      </c>
      <c r="P45" s="320">
        <f>3743.76+28969.59</f>
        <v>32713.35</v>
      </c>
      <c r="Q45" s="53">
        <f t="shared" si="23"/>
        <v>1239799.23</v>
      </c>
      <c r="T45" s="267">
        <f>B45/$B$58</f>
        <v>5.865755865755868E-2</v>
      </c>
      <c r="U45" s="153">
        <f t="shared" si="20"/>
        <v>313790.7458311792</v>
      </c>
      <c r="V45" s="153">
        <f t="shared" si="24"/>
        <v>1553589.9758311792</v>
      </c>
    </row>
    <row r="46" spans="1:22">
      <c r="A46" s="67" t="s">
        <v>209</v>
      </c>
      <c r="B46" s="48">
        <v>2.01E-2</v>
      </c>
      <c r="C46" s="48"/>
      <c r="D46" s="43">
        <v>58339</v>
      </c>
      <c r="E46" s="173"/>
      <c r="F46" s="43">
        <v>2047190541</v>
      </c>
      <c r="G46" s="53">
        <v>6170.44</v>
      </c>
      <c r="H46" s="53">
        <v>410546.83</v>
      </c>
      <c r="I46" s="53">
        <v>0</v>
      </c>
      <c r="J46" s="53">
        <v>5157.6099999999997</v>
      </c>
      <c r="K46" s="53">
        <v>27.08</v>
      </c>
      <c r="L46" s="53">
        <f t="shared" si="21"/>
        <v>411586.74000000005</v>
      </c>
      <c r="M46" s="53">
        <v>87274.16</v>
      </c>
      <c r="N46" s="53">
        <f t="shared" si="22"/>
        <v>324312.58000000007</v>
      </c>
      <c r="O46" s="53">
        <v>0</v>
      </c>
      <c r="P46" s="320">
        <f>952.53+7370.74</f>
        <v>8323.27</v>
      </c>
      <c r="Q46" s="53">
        <f t="shared" si="23"/>
        <v>315989.31000000006</v>
      </c>
      <c r="T46" s="267">
        <f>B46/$B$58</f>
        <v>1.492426492426493E-2</v>
      </c>
      <c r="U46" s="153">
        <f t="shared" si="20"/>
        <v>79837.898622869645</v>
      </c>
      <c r="V46" s="153">
        <f t="shared" si="24"/>
        <v>395827.20862286969</v>
      </c>
    </row>
    <row r="47" spans="1:22">
      <c r="A47" s="67" t="s">
        <v>210</v>
      </c>
      <c r="B47" s="48">
        <v>1.4999999999999999E-2</v>
      </c>
      <c r="C47" s="48"/>
      <c r="D47" s="43">
        <v>58339</v>
      </c>
      <c r="E47" s="173"/>
      <c r="F47" s="43">
        <v>2047190541</v>
      </c>
      <c r="G47" s="53">
        <v>4605.3500000000004</v>
      </c>
      <c r="H47" s="53">
        <v>306337.69</v>
      </c>
      <c r="I47" s="53">
        <v>0</v>
      </c>
      <c r="J47" s="53">
        <v>3849.24</v>
      </c>
      <c r="K47" s="53">
        <v>20.2</v>
      </c>
      <c r="L47" s="53">
        <f t="shared" si="21"/>
        <v>307114</v>
      </c>
      <c r="M47" s="53">
        <v>65089.99</v>
      </c>
      <c r="N47" s="53">
        <f t="shared" si="22"/>
        <v>242024.01</v>
      </c>
      <c r="O47" s="53">
        <v>0</v>
      </c>
      <c r="P47" s="320">
        <f>710.85+5500.55</f>
        <v>6211.4000000000005</v>
      </c>
      <c r="Q47" s="53">
        <f t="shared" si="23"/>
        <v>235812.61000000002</v>
      </c>
      <c r="T47" s="267">
        <f>B47/$B$58</f>
        <v>1.1137511137511141E-2</v>
      </c>
      <c r="U47" s="153">
        <f t="shared" si="20"/>
        <v>59580.521360350474</v>
      </c>
      <c r="V47" s="153">
        <f t="shared" si="24"/>
        <v>295393.13136035047</v>
      </c>
    </row>
    <row r="48" spans="1:22">
      <c r="A48" s="26" t="s">
        <v>462</v>
      </c>
      <c r="B48" s="525">
        <v>3.8999999999999998E-3</v>
      </c>
      <c r="C48" s="48"/>
      <c r="D48" s="43">
        <v>58339</v>
      </c>
      <c r="E48" s="173"/>
      <c r="F48" s="43">
        <v>2047190541</v>
      </c>
      <c r="G48" s="53">
        <v>1197.42</v>
      </c>
      <c r="H48" s="53">
        <v>79635</v>
      </c>
      <c r="I48" s="53">
        <v>0</v>
      </c>
      <c r="J48" s="53">
        <v>998.54</v>
      </c>
      <c r="K48" s="53">
        <v>5.24</v>
      </c>
      <c r="L48" s="53">
        <f t="shared" si="21"/>
        <v>79839.12000000001</v>
      </c>
      <c r="M48" s="53">
        <v>16896.689999999999</v>
      </c>
      <c r="N48" s="53">
        <f t="shared" si="22"/>
        <v>62942.430000000008</v>
      </c>
      <c r="O48" s="53">
        <v>0</v>
      </c>
      <c r="P48" s="320">
        <f>184.8+1430.14</f>
        <v>1614.94</v>
      </c>
      <c r="Q48" s="53">
        <f t="shared" si="23"/>
        <v>61327.490000000005</v>
      </c>
      <c r="T48" s="267">
        <f t="shared" ref="T48:T53" si="25">B49/$B$58</f>
        <v>1.930501930501931E-3</v>
      </c>
      <c r="U48" s="153">
        <f t="shared" si="20"/>
        <v>10327.290369127415</v>
      </c>
      <c r="V48" s="153">
        <f t="shared" si="24"/>
        <v>71654.780369127417</v>
      </c>
    </row>
    <row r="49" spans="1:22">
      <c r="A49" s="26" t="s">
        <v>558</v>
      </c>
      <c r="B49" s="48">
        <v>2.5999999999999999E-3</v>
      </c>
      <c r="C49" s="48"/>
      <c r="D49" s="43">
        <v>58339</v>
      </c>
      <c r="E49" s="454"/>
      <c r="F49" s="43">
        <v>2047190541</v>
      </c>
      <c r="G49" s="53">
        <v>798.03</v>
      </c>
      <c r="H49" s="453">
        <v>53075.01</v>
      </c>
      <c r="I49" s="53">
        <v>0</v>
      </c>
      <c r="J49" s="453">
        <v>665.7</v>
      </c>
      <c r="K49" s="53">
        <v>3.5</v>
      </c>
      <c r="L49" s="53">
        <f t="shared" si="21"/>
        <v>53210.840000000004</v>
      </c>
      <c r="M49" s="53">
        <v>11250.73</v>
      </c>
      <c r="N49" s="53">
        <f t="shared" si="22"/>
        <v>41960.11</v>
      </c>
      <c r="O49" s="53">
        <v>0</v>
      </c>
      <c r="P49" s="320">
        <f>123.23+953.43</f>
        <v>1076.6599999999999</v>
      </c>
      <c r="Q49" s="53">
        <f t="shared" si="23"/>
        <v>40883.449999999997</v>
      </c>
      <c r="T49" s="267">
        <f t="shared" si="25"/>
        <v>5.9400059400059421E-2</v>
      </c>
      <c r="U49" s="153">
        <f t="shared" si="20"/>
        <v>317762.78058853588</v>
      </c>
      <c r="V49" s="153"/>
    </row>
    <row r="50" spans="1:22">
      <c r="A50" s="67" t="s">
        <v>211</v>
      </c>
      <c r="B50" s="48">
        <v>0.08</v>
      </c>
      <c r="C50" s="48"/>
      <c r="D50" s="43">
        <v>58339</v>
      </c>
      <c r="E50" s="173"/>
      <c r="F50" s="43">
        <v>2047190541</v>
      </c>
      <c r="G50" s="53">
        <v>24558.639999999999</v>
      </c>
      <c r="H50" s="53">
        <v>1633903.16</v>
      </c>
      <c r="I50" s="53">
        <v>0</v>
      </c>
      <c r="J50" s="53">
        <v>20523.63</v>
      </c>
      <c r="K50" s="53">
        <v>121.36</v>
      </c>
      <c r="L50" s="53">
        <f t="shared" si="21"/>
        <v>1638059.53</v>
      </c>
      <c r="M50" s="53">
        <v>354867.76</v>
      </c>
      <c r="N50" s="53">
        <f t="shared" si="22"/>
        <v>1283191.77</v>
      </c>
      <c r="O50" s="53">
        <v>0</v>
      </c>
      <c r="P50" s="320">
        <f>3791.15+29336.28</f>
        <v>33127.43</v>
      </c>
      <c r="Q50" s="53">
        <f t="shared" si="23"/>
        <v>1250064.3400000001</v>
      </c>
      <c r="T50" s="267">
        <f t="shared" si="25"/>
        <v>8.6872586872586907E-3</v>
      </c>
      <c r="U50" s="153">
        <f t="shared" si="20"/>
        <v>46472.80666107338</v>
      </c>
      <c r="V50" s="153">
        <f t="shared" si="24"/>
        <v>1296537.1466610734</v>
      </c>
    </row>
    <row r="51" spans="1:22">
      <c r="A51" s="67" t="s">
        <v>212</v>
      </c>
      <c r="B51" s="48">
        <v>1.17E-2</v>
      </c>
      <c r="C51" s="48"/>
      <c r="D51" s="43">
        <v>58339</v>
      </c>
      <c r="E51" s="173"/>
      <c r="F51" s="43">
        <v>2047190541</v>
      </c>
      <c r="G51" s="53">
        <v>3591.73</v>
      </c>
      <c r="H51" s="53">
        <v>238947.49</v>
      </c>
      <c r="I51" s="53">
        <v>0</v>
      </c>
      <c r="J51" s="53">
        <v>3002.96</v>
      </c>
      <c r="K51" s="53">
        <v>15.75</v>
      </c>
      <c r="L51" s="53">
        <f t="shared" si="21"/>
        <v>239552.01</v>
      </c>
      <c r="M51" s="53">
        <v>51720.09</v>
      </c>
      <c r="N51" s="53">
        <f t="shared" si="22"/>
        <v>187831.92</v>
      </c>
      <c r="O51" s="53">
        <v>0</v>
      </c>
      <c r="P51" s="320">
        <f>554.46+4290.43</f>
        <v>4844.8900000000003</v>
      </c>
      <c r="Q51" s="53">
        <f t="shared" si="23"/>
        <v>182987.03</v>
      </c>
      <c r="T51" s="267">
        <f t="shared" si="25"/>
        <v>2.5987525987525999E-2</v>
      </c>
      <c r="U51" s="153">
        <f t="shared" si="20"/>
        <v>139021.21650748447</v>
      </c>
      <c r="V51" s="153">
        <f t="shared" si="24"/>
        <v>322008.24650748447</v>
      </c>
    </row>
    <row r="52" spans="1:22">
      <c r="A52" s="67" t="s">
        <v>136</v>
      </c>
      <c r="B52" s="48">
        <v>3.5000000000000003E-2</v>
      </c>
      <c r="C52" s="48"/>
      <c r="D52" s="43">
        <v>58339</v>
      </c>
      <c r="E52" s="173"/>
      <c r="F52" s="43">
        <v>2047190541</v>
      </c>
      <c r="G52" s="53">
        <v>10744.76</v>
      </c>
      <c r="H52" s="53">
        <v>715109.25</v>
      </c>
      <c r="I52" s="53">
        <v>0</v>
      </c>
      <c r="J52" s="53">
        <v>8977.69</v>
      </c>
      <c r="K52" s="53">
        <v>47.27</v>
      </c>
      <c r="L52" s="53">
        <f t="shared" si="21"/>
        <v>716923.59000000008</v>
      </c>
      <c r="M52" s="53">
        <v>188426.84</v>
      </c>
      <c r="N52" s="53">
        <f t="shared" si="22"/>
        <v>528496.75000000012</v>
      </c>
      <c r="O52" s="53">
        <v>0</v>
      </c>
      <c r="P52" s="320">
        <f>1658.63+12834.63</f>
        <v>14493.259999999998</v>
      </c>
      <c r="Q52" s="53">
        <f t="shared" si="23"/>
        <v>514003.49000000011</v>
      </c>
      <c r="T52" s="267">
        <f t="shared" si="25"/>
        <v>1.856251856251857E-2</v>
      </c>
      <c r="U52" s="153">
        <f t="shared" si="20"/>
        <v>99300.868933917474</v>
      </c>
      <c r="V52" s="153">
        <f t="shared" si="24"/>
        <v>613304.3589339176</v>
      </c>
    </row>
    <row r="53" spans="1:22">
      <c r="A53" s="67" t="s">
        <v>213</v>
      </c>
      <c r="B53" s="48">
        <v>2.5000000000000001E-2</v>
      </c>
      <c r="C53" s="48"/>
      <c r="D53" s="43">
        <v>58339</v>
      </c>
      <c r="E53" s="173"/>
      <c r="F53" s="43">
        <v>2047190541</v>
      </c>
      <c r="G53" s="53">
        <v>7675.09</v>
      </c>
      <c r="H53" s="53">
        <v>510595.53</v>
      </c>
      <c r="I53" s="53">
        <v>0</v>
      </c>
      <c r="J53" s="53">
        <v>6414.66</v>
      </c>
      <c r="K53" s="53">
        <v>33.68</v>
      </c>
      <c r="L53" s="53">
        <f t="shared" si="21"/>
        <v>511889.64000000007</v>
      </c>
      <c r="M53" s="53">
        <v>108531.89</v>
      </c>
      <c r="N53" s="53">
        <f t="shared" si="22"/>
        <v>403357.75000000006</v>
      </c>
      <c r="O53" s="53">
        <v>0</v>
      </c>
      <c r="P53" s="320">
        <f>1184.74+9167.59</f>
        <v>10352.33</v>
      </c>
      <c r="Q53" s="53">
        <f t="shared" si="23"/>
        <v>393005.42000000004</v>
      </c>
      <c r="T53" s="267">
        <f t="shared" si="25"/>
        <v>3.7125037125037138E-3</v>
      </c>
      <c r="U53" s="153">
        <f t="shared" si="20"/>
        <v>19860.173786783493</v>
      </c>
      <c r="V53" s="153">
        <f t="shared" si="24"/>
        <v>412865.59378678352</v>
      </c>
    </row>
    <row r="54" spans="1:22">
      <c r="A54" s="67" t="s">
        <v>214</v>
      </c>
      <c r="B54" s="48">
        <v>5.0000000000000001E-3</v>
      </c>
      <c r="C54" s="48"/>
      <c r="D54" s="43">
        <v>58339</v>
      </c>
      <c r="E54" s="173"/>
      <c r="F54" s="43">
        <v>2047190541</v>
      </c>
      <c r="G54" s="53">
        <v>1535.12</v>
      </c>
      <c r="H54" s="53">
        <v>102120.37</v>
      </c>
      <c r="I54" s="53">
        <v>0</v>
      </c>
      <c r="J54" s="53">
        <v>1281.08</v>
      </c>
      <c r="K54" s="53">
        <v>6.72</v>
      </c>
      <c r="L54" s="53">
        <f t="shared" si="21"/>
        <v>102381.12999999999</v>
      </c>
      <c r="M54" s="53">
        <v>21685.98</v>
      </c>
      <c r="N54" s="53">
        <f t="shared" si="22"/>
        <v>80695.149999999994</v>
      </c>
      <c r="O54" s="53">
        <v>0</v>
      </c>
      <c r="P54" s="320">
        <f>236.96+1833.51</f>
        <v>2070.4699999999998</v>
      </c>
      <c r="Q54" s="53">
        <f t="shared" si="23"/>
        <v>78624.679999999993</v>
      </c>
      <c r="T54" s="267" t="e">
        <f>#REF!/$B$58</f>
        <v>#REF!</v>
      </c>
      <c r="U54" s="153" t="e">
        <f t="shared" si="20"/>
        <v>#REF!</v>
      </c>
      <c r="V54" s="153" t="e">
        <f t="shared" si="24"/>
        <v>#REF!</v>
      </c>
    </row>
    <row r="55" spans="1:22">
      <c r="A55" s="26" t="s">
        <v>503</v>
      </c>
      <c r="B55" s="48">
        <v>1.5E-3</v>
      </c>
      <c r="C55" s="48"/>
      <c r="D55" s="43">
        <v>58339</v>
      </c>
      <c r="E55" s="454"/>
      <c r="F55" s="43">
        <v>2047190541</v>
      </c>
      <c r="G55" s="53">
        <v>460.15</v>
      </c>
      <c r="H55" s="53">
        <v>30632.61</v>
      </c>
      <c r="I55" s="53">
        <v>0</v>
      </c>
      <c r="J55" s="53">
        <v>383.61</v>
      </c>
      <c r="K55" s="53">
        <v>2.02</v>
      </c>
      <c r="L55" s="53">
        <f t="shared" si="21"/>
        <v>30711.170000000002</v>
      </c>
      <c r="M55" s="53">
        <v>6462.91</v>
      </c>
      <c r="N55" s="53">
        <f>L55-M55</f>
        <v>24248.260000000002</v>
      </c>
      <c r="O55" s="53">
        <v>0</v>
      </c>
      <c r="P55" s="320">
        <f>71.09+550.06</f>
        <v>621.15</v>
      </c>
      <c r="Q55" s="53">
        <f>N55-O55-P55</f>
        <v>23627.11</v>
      </c>
      <c r="T55" s="267">
        <f>B55/$B$58</f>
        <v>1.1137511137511141E-3</v>
      </c>
      <c r="U55" s="153">
        <f t="shared" si="20"/>
        <v>5958.0521360350476</v>
      </c>
      <c r="V55" s="153">
        <f t="shared" si="24"/>
        <v>29585.162136035047</v>
      </c>
    </row>
    <row r="56" spans="1:22">
      <c r="A56" s="26" t="s">
        <v>95</v>
      </c>
      <c r="B56" s="48">
        <v>6.0000000000000001E-3</v>
      </c>
      <c r="C56" s="48"/>
      <c r="D56" s="43">
        <v>58339</v>
      </c>
      <c r="E56" s="173"/>
      <c r="F56" s="43">
        <v>2047190541</v>
      </c>
      <c r="G56" s="53">
        <v>1841.9</v>
      </c>
      <c r="H56" s="53">
        <v>122587.91</v>
      </c>
      <c r="I56" s="53">
        <v>0</v>
      </c>
      <c r="J56" s="53">
        <v>1539.13</v>
      </c>
      <c r="K56" s="53">
        <v>8.0500000000000007</v>
      </c>
      <c r="L56" s="53">
        <f t="shared" si="21"/>
        <v>122898.73</v>
      </c>
      <c r="M56" s="53">
        <v>27491.53</v>
      </c>
      <c r="N56" s="53">
        <f t="shared" si="22"/>
        <v>95407.2</v>
      </c>
      <c r="O56" s="53">
        <v>0</v>
      </c>
      <c r="P56" s="320">
        <f>284.34+2200.23</f>
        <v>2484.5700000000002</v>
      </c>
      <c r="Q56" s="53">
        <f t="shared" si="23"/>
        <v>92922.62999999999</v>
      </c>
      <c r="T56" s="267">
        <f>B56/$B$58</f>
        <v>4.4550044550044562E-3</v>
      </c>
      <c r="U56" s="153">
        <f t="shared" si="20"/>
        <v>23832.20854414019</v>
      </c>
      <c r="V56" s="153">
        <f t="shared" si="24"/>
        <v>116754.83854414018</v>
      </c>
    </row>
    <row r="57" spans="1:22" s="50" customFormat="1">
      <c r="A57" s="71"/>
      <c r="B57" s="51"/>
      <c r="C57" s="51"/>
      <c r="D57" s="52"/>
      <c r="E57" s="65">
        <v>78027607</v>
      </c>
      <c r="F57" s="52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T57" s="268"/>
      <c r="U57" s="268"/>
      <c r="V57" s="268"/>
    </row>
    <row r="58" spans="1:22">
      <c r="A58" s="71" t="s">
        <v>26</v>
      </c>
      <c r="B58" s="48">
        <f>SUM(B43:B57)</f>
        <v>1.3467999999999996</v>
      </c>
      <c r="C58" s="48">
        <f>SUM(C43:C57)</f>
        <v>0</v>
      </c>
      <c r="D58" s="72">
        <f>+D43</f>
        <v>58339</v>
      </c>
      <c r="E58" s="458">
        <f>G58/B58*100</f>
        <v>30698695.426195443</v>
      </c>
      <c r="F58" s="72">
        <f>+F43</f>
        <v>2047190541</v>
      </c>
      <c r="G58" s="73">
        <f t="shared" ref="G58:Q58" si="26">SUM(G43:G56)</f>
        <v>413450.03</v>
      </c>
      <c r="H58" s="73">
        <f t="shared" si="26"/>
        <v>27710654.780000001</v>
      </c>
      <c r="I58" s="73">
        <f t="shared" si="26"/>
        <v>0</v>
      </c>
      <c r="J58" s="73">
        <f t="shared" si="26"/>
        <v>345503.91</v>
      </c>
      <c r="K58" s="73">
        <f t="shared" si="26"/>
        <v>2045.56</v>
      </c>
      <c r="L58" s="73">
        <f t="shared" si="26"/>
        <v>27780646.460000001</v>
      </c>
      <c r="M58" s="73">
        <f t="shared" si="26"/>
        <v>5909287.1700000009</v>
      </c>
      <c r="N58" s="73">
        <f t="shared" si="26"/>
        <v>21871359.289999999</v>
      </c>
      <c r="O58" s="73">
        <f t="shared" si="26"/>
        <v>0</v>
      </c>
      <c r="P58" s="73">
        <f t="shared" si="26"/>
        <v>557700.48999999987</v>
      </c>
      <c r="Q58" s="73">
        <f t="shared" si="26"/>
        <v>21313658.799999997</v>
      </c>
      <c r="T58" s="267" t="e">
        <f>SUM(T43:T56)</f>
        <v>#REF!</v>
      </c>
      <c r="U58" s="153" t="e">
        <f>SUM(U43:U56)</f>
        <v>#REF!</v>
      </c>
      <c r="V58" s="153" t="e">
        <f>SUM(V43:V56)</f>
        <v>#REF!</v>
      </c>
    </row>
    <row r="59" spans="1:22" ht="21" customHeight="1">
      <c r="A59" s="47" t="s">
        <v>16</v>
      </c>
      <c r="B59" s="48">
        <f>B58</f>
        <v>1.3467999999999996</v>
      </c>
      <c r="C59" s="48">
        <f>C58</f>
        <v>0</v>
      </c>
      <c r="D59" s="43"/>
      <c r="E59" s="173"/>
      <c r="F59" s="65">
        <f>IF(E57&gt;E58,E57-E58,0)</f>
        <v>47328911.573804557</v>
      </c>
      <c r="G59" s="53">
        <f>F59*(B59-C59)/100</f>
        <v>637425.78107599961</v>
      </c>
      <c r="H59" s="53"/>
      <c r="I59" s="53">
        <f>F59*C59/100</f>
        <v>0</v>
      </c>
      <c r="J59" s="53"/>
      <c r="K59" s="53"/>
      <c r="L59" s="53">
        <f>G59+H59+I59-J59+K59</f>
        <v>637425.78107599961</v>
      </c>
      <c r="M59" s="53"/>
      <c r="N59" s="53">
        <f>L59-M59</f>
        <v>637425.78107599961</v>
      </c>
      <c r="O59" s="53"/>
      <c r="P59" s="53"/>
      <c r="Q59" s="53">
        <f>N59-O59-P59</f>
        <v>637425.78107599961</v>
      </c>
      <c r="T59" s="266"/>
      <c r="U59" s="153"/>
      <c r="V59" s="153"/>
    </row>
    <row r="60" spans="1:22" ht="12.75" customHeight="1">
      <c r="A60" s="47" t="s">
        <v>17</v>
      </c>
      <c r="B60" s="48">
        <f>B58</f>
        <v>1.3467999999999996</v>
      </c>
      <c r="C60" s="48">
        <f>C58</f>
        <v>0</v>
      </c>
      <c r="D60" s="43"/>
      <c r="E60" s="173"/>
      <c r="F60" s="66">
        <v>207075199</v>
      </c>
      <c r="G60" s="53"/>
      <c r="H60" s="53">
        <f>F60*(B60-C60)/100</f>
        <v>2788888.7801319994</v>
      </c>
      <c r="I60" s="53">
        <f>F60*C60/100</f>
        <v>0</v>
      </c>
      <c r="J60" s="53">
        <v>0</v>
      </c>
      <c r="K60" s="53">
        <v>0</v>
      </c>
      <c r="L60" s="53">
        <f>G60+H60+I60-J60+K60</f>
        <v>2788888.7801319994</v>
      </c>
      <c r="M60" s="53">
        <v>0</v>
      </c>
      <c r="N60" s="53">
        <f>L60-M60</f>
        <v>2788888.7801319994</v>
      </c>
      <c r="O60" s="53">
        <v>0</v>
      </c>
      <c r="P60" s="320">
        <v>383938.72</v>
      </c>
      <c r="Q60" s="53">
        <f>N60-O60-P60</f>
        <v>2404950.0601319997</v>
      </c>
      <c r="T60" s="266" t="s">
        <v>380</v>
      </c>
      <c r="U60" s="266"/>
      <c r="V60" s="266"/>
    </row>
    <row r="61" spans="1:22">
      <c r="A61" s="47" t="s">
        <v>18</v>
      </c>
      <c r="B61" s="48"/>
      <c r="C61" s="48"/>
      <c r="D61" s="43"/>
      <c r="E61" s="173"/>
      <c r="F61" s="4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T61" s="266" t="s">
        <v>381</v>
      </c>
      <c r="U61" s="266"/>
      <c r="V61" s="266"/>
    </row>
    <row r="62" spans="1:22">
      <c r="A62" s="67" t="s">
        <v>19</v>
      </c>
      <c r="B62" s="48">
        <f>B58</f>
        <v>1.3467999999999996</v>
      </c>
      <c r="C62" s="48">
        <f>C58</f>
        <v>0</v>
      </c>
      <c r="D62" s="43"/>
      <c r="E62" s="173"/>
      <c r="F62" s="43">
        <v>192878503.41</v>
      </c>
      <c r="G62" s="53">
        <v>1557328.68</v>
      </c>
      <c r="H62" s="53">
        <v>1999689.57</v>
      </c>
      <c r="I62" s="53">
        <v>0</v>
      </c>
      <c r="J62" s="53">
        <v>959330.56</v>
      </c>
      <c r="K62" s="53">
        <v>0</v>
      </c>
      <c r="L62" s="53">
        <f>G62+H62+I62-J62+K62</f>
        <v>2597687.69</v>
      </c>
      <c r="M62" s="53">
        <v>576737.25</v>
      </c>
      <c r="N62" s="53">
        <f>L62-M62</f>
        <v>2020950.44</v>
      </c>
      <c r="O62" s="53">
        <v>0</v>
      </c>
      <c r="P62" s="53">
        <v>112403.94</v>
      </c>
      <c r="Q62" s="53">
        <f>N62-O62-P62</f>
        <v>1908546.5</v>
      </c>
      <c r="T62" s="266"/>
      <c r="U62" s="266"/>
      <c r="V62" s="266"/>
    </row>
    <row r="63" spans="1:22">
      <c r="A63" s="67" t="s">
        <v>20</v>
      </c>
      <c r="B63" s="48">
        <f>B58</f>
        <v>1.3467999999999996</v>
      </c>
      <c r="C63" s="48">
        <f>C58</f>
        <v>0</v>
      </c>
      <c r="D63" s="43"/>
      <c r="E63" s="173"/>
      <c r="F63" s="43">
        <v>29601132.780000001</v>
      </c>
      <c r="G63" s="53">
        <v>398225.4</v>
      </c>
      <c r="H63" s="53">
        <v>442.65</v>
      </c>
      <c r="I63" s="53">
        <v>0</v>
      </c>
      <c r="J63" s="53">
        <v>0</v>
      </c>
      <c r="K63" s="53">
        <v>0</v>
      </c>
      <c r="L63" s="53">
        <f>G63+H63+I63-J63+K63</f>
        <v>398668.05000000005</v>
      </c>
      <c r="M63" s="53">
        <v>0</v>
      </c>
      <c r="N63" s="53">
        <f>L63-M63</f>
        <v>398668.05000000005</v>
      </c>
      <c r="O63" s="53">
        <v>0</v>
      </c>
      <c r="P63" s="53">
        <v>53.98</v>
      </c>
      <c r="Q63" s="53">
        <f>N63-O63-P63</f>
        <v>398614.07000000007</v>
      </c>
      <c r="T63" s="153">
        <f>SUM(Q59:Q60,Q62:Q63)</f>
        <v>5349536.411208</v>
      </c>
      <c r="U63" s="266"/>
      <c r="V63" s="266"/>
    </row>
    <row r="64" spans="1:22">
      <c r="A64" s="47"/>
      <c r="B64" s="48"/>
      <c r="C64" s="48"/>
      <c r="D64" s="43"/>
      <c r="E64" s="173"/>
      <c r="F64" s="4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T64" s="266"/>
      <c r="U64" s="266"/>
      <c r="V64" s="266"/>
    </row>
    <row r="65" spans="1:17" s="50" customFormat="1" ht="13.5" thickBot="1">
      <c r="A65" s="60" t="str">
        <f>"TOTAL "&amp;A40</f>
        <v>TOTAL GENERAL COUNTY</v>
      </c>
      <c r="B65" s="68">
        <f>B58</f>
        <v>1.3467999999999996</v>
      </c>
      <c r="C65" s="68">
        <f>C58</f>
        <v>0</v>
      </c>
      <c r="D65" s="69">
        <f t="shared" ref="D65:Q65" si="27">SUM(D58:D60,D62:D63)</f>
        <v>58339</v>
      </c>
      <c r="E65" s="204"/>
      <c r="F65" s="69">
        <f t="shared" si="27"/>
        <v>2524074287.7638049</v>
      </c>
      <c r="G65" s="70">
        <f t="shared" si="27"/>
        <v>3006429.8910759995</v>
      </c>
      <c r="H65" s="70">
        <f t="shared" si="27"/>
        <v>32499675.780131999</v>
      </c>
      <c r="I65" s="70">
        <f t="shared" si="27"/>
        <v>0</v>
      </c>
      <c r="J65" s="70">
        <f t="shared" si="27"/>
        <v>1304834.47</v>
      </c>
      <c r="K65" s="70">
        <f t="shared" si="27"/>
        <v>2045.56</v>
      </c>
      <c r="L65" s="70">
        <f t="shared" si="27"/>
        <v>34203316.761207998</v>
      </c>
      <c r="M65" s="70">
        <f t="shared" si="27"/>
        <v>6486024.4200000009</v>
      </c>
      <c r="N65" s="70">
        <f t="shared" si="27"/>
        <v>27717292.341208</v>
      </c>
      <c r="O65" s="69">
        <f t="shared" si="27"/>
        <v>0</v>
      </c>
      <c r="P65" s="69">
        <f t="shared" si="27"/>
        <v>1054097.1299999999</v>
      </c>
      <c r="Q65" s="70">
        <f t="shared" si="27"/>
        <v>26663195.211207997</v>
      </c>
    </row>
    <row r="66" spans="1:17" s="168" customFormat="1">
      <c r="A66" s="165" t="s">
        <v>28</v>
      </c>
      <c r="B66" s="166"/>
      <c r="C66" s="166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</row>
    <row r="67" spans="1:17" s="168" customFormat="1">
      <c r="A67" s="200" t="s">
        <v>29</v>
      </c>
      <c r="B67" s="166"/>
      <c r="C67" s="166"/>
      <c r="D67" s="167"/>
      <c r="E67" s="167"/>
      <c r="F67" s="167">
        <v>30662887</v>
      </c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</row>
    <row r="68" spans="1:17" s="168" customFormat="1">
      <c r="A68" s="200" t="s">
        <v>15</v>
      </c>
      <c r="B68" s="166"/>
      <c r="C68" s="166"/>
      <c r="D68" s="167"/>
      <c r="E68" s="167"/>
      <c r="F68" s="169">
        <v>2016376516</v>
      </c>
      <c r="G68" s="167"/>
      <c r="H68" s="464">
        <f>H41-F69</f>
        <v>15523776.388180256</v>
      </c>
      <c r="I68" s="167"/>
      <c r="J68" s="167"/>
      <c r="K68" s="167"/>
      <c r="L68" s="167"/>
      <c r="M68" s="167"/>
      <c r="N68" s="167"/>
      <c r="O68" s="167"/>
      <c r="P68" s="167"/>
      <c r="Q68" s="167"/>
    </row>
    <row r="69" spans="1:17" s="168" customFormat="1">
      <c r="A69" s="200"/>
      <c r="B69" s="166"/>
      <c r="C69" s="166"/>
      <c r="D69" s="167"/>
      <c r="E69" s="167"/>
      <c r="F69" s="167">
        <f>F67+F68</f>
        <v>2047039403</v>
      </c>
      <c r="G69" s="167"/>
      <c r="H69" s="173"/>
      <c r="I69" s="167"/>
      <c r="J69" s="167"/>
      <c r="K69" s="167"/>
      <c r="L69" s="167"/>
      <c r="M69" s="167"/>
      <c r="N69" s="167"/>
      <c r="O69" s="167"/>
      <c r="P69" s="167"/>
      <c r="Q69" s="167"/>
    </row>
    <row r="70" spans="1:17" s="168" customFormat="1">
      <c r="A70" s="200" t="s">
        <v>30</v>
      </c>
      <c r="B70" s="166"/>
      <c r="C70" s="166"/>
      <c r="D70" s="167"/>
      <c r="E70" s="167"/>
      <c r="F70" s="74">
        <f>F58-F69</f>
        <v>151138</v>
      </c>
      <c r="G70" s="170">
        <f>F70/F69</f>
        <v>7.3832482060922993E-5</v>
      </c>
      <c r="H70" s="167"/>
      <c r="I70" s="167"/>
      <c r="J70" s="167"/>
      <c r="K70" s="167"/>
      <c r="L70" s="167"/>
      <c r="M70" s="167"/>
      <c r="N70" s="167"/>
      <c r="O70" s="167"/>
      <c r="P70" s="167"/>
      <c r="Q70" s="167"/>
    </row>
    <row r="71" spans="1:17" s="174" customFormat="1">
      <c r="A71" s="171"/>
      <c r="B71" s="172"/>
      <c r="C71" s="172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1:17" s="174" customFormat="1">
      <c r="A72" s="75" t="s">
        <v>355</v>
      </c>
      <c r="B72" s="172"/>
      <c r="C72" s="172"/>
      <c r="D72" s="175"/>
      <c r="E72" s="175"/>
      <c r="F72" s="447">
        <v>2515761046</v>
      </c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1:17" s="174" customFormat="1">
      <c r="A73" s="76" t="s">
        <v>30</v>
      </c>
      <c r="B73" s="172"/>
      <c r="C73" s="172"/>
      <c r="D73" s="77"/>
      <c r="E73" s="77"/>
      <c r="F73" s="77">
        <f>F65-F72</f>
        <v>8313241.7638049126</v>
      </c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1:17">
      <c r="A74" s="47"/>
      <c r="B74" s="48"/>
      <c r="C74" s="48"/>
      <c r="D74" s="43"/>
      <c r="E74" s="173"/>
      <c r="F74" s="4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7">
      <c r="A75" s="54" t="s">
        <v>13</v>
      </c>
      <c r="B75" s="51"/>
      <c r="C75" s="51"/>
      <c r="D75" s="52"/>
      <c r="E75" s="203"/>
      <c r="F75" s="52"/>
      <c r="G75" s="64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1:17">
      <c r="A76" s="47"/>
      <c r="B76" s="48"/>
      <c r="C76" s="48"/>
      <c r="D76" s="43"/>
      <c r="E76" s="65">
        <v>78027607</v>
      </c>
      <c r="F76" s="4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1:17">
      <c r="A77" s="49" t="s">
        <v>15</v>
      </c>
      <c r="B77" s="48">
        <v>0.75</v>
      </c>
      <c r="C77" s="48">
        <v>0</v>
      </c>
      <c r="D77" s="43">
        <v>58339</v>
      </c>
      <c r="E77" s="173">
        <f>G77/B77*100</f>
        <v>30699613.333333336</v>
      </c>
      <c r="F77" s="43">
        <v>2047190541</v>
      </c>
      <c r="G77" s="53">
        <v>230247.1</v>
      </c>
      <c r="H77" s="53">
        <v>15318305.050000001</v>
      </c>
      <c r="I77" s="53"/>
      <c r="J77" s="53">
        <v>192403.86</v>
      </c>
      <c r="K77" s="53">
        <v>1128.02</v>
      </c>
      <c r="L77" s="53">
        <f t="shared" ref="L77:L82" si="28">G77+H77+I77-J77+K77</f>
        <v>15357276.310000001</v>
      </c>
      <c r="M77" s="53">
        <v>3256545.85</v>
      </c>
      <c r="N77" s="53">
        <f>L77-M77</f>
        <v>12100730.460000001</v>
      </c>
      <c r="O77" s="53">
        <v>0</v>
      </c>
      <c r="P77" s="53">
        <v>35542.050000000003</v>
      </c>
      <c r="Q77" s="53">
        <f>N77-O77-P77</f>
        <v>12065188.41</v>
      </c>
    </row>
    <row r="78" spans="1:17">
      <c r="A78" s="47" t="s">
        <v>16</v>
      </c>
      <c r="B78" s="48">
        <f>B77</f>
        <v>0.75</v>
      </c>
      <c r="C78" s="48">
        <f>C77</f>
        <v>0</v>
      </c>
      <c r="D78" s="43"/>
      <c r="E78" s="173"/>
      <c r="F78" s="65">
        <f>IF(E76&gt;E77,E76-E77,0)</f>
        <v>47327993.666666664</v>
      </c>
      <c r="G78" s="53">
        <f>F78*(B78-C78)/100</f>
        <v>354959.95250000001</v>
      </c>
      <c r="H78" s="53"/>
      <c r="I78" s="53">
        <f>F78*C78/100</f>
        <v>0</v>
      </c>
      <c r="J78" s="53"/>
      <c r="K78" s="53"/>
      <c r="L78" s="53">
        <f t="shared" si="28"/>
        <v>354959.95250000001</v>
      </c>
      <c r="M78" s="53"/>
      <c r="N78" s="53">
        <f>L78-M78</f>
        <v>354959.95250000001</v>
      </c>
      <c r="O78" s="53"/>
      <c r="P78" s="53"/>
      <c r="Q78" s="53">
        <f>N78-O78-P78</f>
        <v>354959.95250000001</v>
      </c>
    </row>
    <row r="79" spans="1:17">
      <c r="A79" s="47" t="s">
        <v>17</v>
      </c>
      <c r="B79" s="48">
        <f>B77</f>
        <v>0.75</v>
      </c>
      <c r="C79" s="48">
        <f>C77</f>
        <v>0</v>
      </c>
      <c r="D79" s="43"/>
      <c r="E79" s="173"/>
      <c r="F79" s="66">
        <v>207075199</v>
      </c>
      <c r="G79" s="53"/>
      <c r="H79" s="53">
        <f>F79*(B79-C79)/100</f>
        <v>1553063.9924999999</v>
      </c>
      <c r="I79" s="53">
        <f>F79*C79/100</f>
        <v>0</v>
      </c>
      <c r="J79" s="53">
        <v>0</v>
      </c>
      <c r="K79" s="53">
        <v>0</v>
      </c>
      <c r="L79" s="53">
        <f t="shared" si="28"/>
        <v>1553063.9924999999</v>
      </c>
      <c r="M79" s="53">
        <v>0</v>
      </c>
      <c r="N79" s="53">
        <f>L79-M79</f>
        <v>1553063.9924999999</v>
      </c>
      <c r="O79" s="53">
        <v>0</v>
      </c>
      <c r="P79" s="320">
        <v>275027.73</v>
      </c>
      <c r="Q79" s="53">
        <f>N79-O79-P79</f>
        <v>1278036.2625</v>
      </c>
    </row>
    <row r="80" spans="1:17">
      <c r="A80" s="47" t="s">
        <v>18</v>
      </c>
      <c r="B80" s="48"/>
      <c r="C80" s="48"/>
      <c r="D80" s="43"/>
      <c r="E80" s="173"/>
      <c r="F80" s="4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20">
      <c r="A81" s="67" t="s">
        <v>19</v>
      </c>
      <c r="B81" s="48">
        <f>B77</f>
        <v>0.75</v>
      </c>
      <c r="C81" s="48">
        <f>C77</f>
        <v>0</v>
      </c>
      <c r="D81" s="43"/>
      <c r="E81" s="173"/>
      <c r="F81" s="413">
        <v>192878503.41</v>
      </c>
      <c r="G81" s="53">
        <f>1543684.13*S84</f>
        <v>867238.2752808989</v>
      </c>
      <c r="H81" s="53">
        <f>1982169.27*S84</f>
        <v>1113578.2415730339</v>
      </c>
      <c r="I81" s="53">
        <v>0</v>
      </c>
      <c r="J81" s="53">
        <f>950925.36*S84</f>
        <v>534227.73033707868</v>
      </c>
      <c r="K81" s="53">
        <v>0</v>
      </c>
      <c r="L81" s="53">
        <f t="shared" si="28"/>
        <v>1446588.7865168541</v>
      </c>
      <c r="M81" s="53">
        <f>571684.17*S84</f>
        <v>321170.88202247198</v>
      </c>
      <c r="N81" s="53">
        <f>L81-M81</f>
        <v>1125417.904494382</v>
      </c>
      <c r="O81" s="53">
        <v>0</v>
      </c>
      <c r="P81" s="53">
        <f>111419.13*S84</f>
        <v>62595.01685393259</v>
      </c>
      <c r="Q81" s="53">
        <f>N81-O81-P81</f>
        <v>1062822.8876404495</v>
      </c>
      <c r="S81" s="381">
        <f>Q82-G82</f>
        <v>216.43820224719821</v>
      </c>
    </row>
    <row r="82" spans="1:20">
      <c r="A82" s="67" t="s">
        <v>20</v>
      </c>
      <c r="B82" s="48">
        <f>B77</f>
        <v>0.75</v>
      </c>
      <c r="C82" s="48">
        <f>C77</f>
        <v>0</v>
      </c>
      <c r="D82" s="43"/>
      <c r="E82" s="173"/>
      <c r="F82" s="13">
        <v>29601132.780000001</v>
      </c>
      <c r="G82" s="18">
        <f>394736.31*S84</f>
        <v>221761.97191011236</v>
      </c>
      <c r="H82" s="18">
        <f>438.77*S84</f>
        <v>246.5</v>
      </c>
      <c r="I82" s="18">
        <v>0</v>
      </c>
      <c r="J82" s="18"/>
      <c r="K82" s="18"/>
      <c r="L82" s="18">
        <f t="shared" si="28"/>
        <v>222008.47191011236</v>
      </c>
      <c r="M82" s="18">
        <v>0</v>
      </c>
      <c r="N82" s="18">
        <f>L82-M82</f>
        <v>222008.47191011236</v>
      </c>
      <c r="O82" s="18">
        <v>0</v>
      </c>
      <c r="P82" s="18">
        <f>53.51*S84</f>
        <v>30.061797752808989</v>
      </c>
      <c r="Q82" s="53">
        <f>N82-O82-P82</f>
        <v>221978.41011235956</v>
      </c>
      <c r="S82" s="381">
        <f>G82</f>
        <v>221761.97191011236</v>
      </c>
      <c r="T82" s="53">
        <f>+Q82+Q94</f>
        <v>395121.57</v>
      </c>
    </row>
    <row r="83" spans="1:20">
      <c r="A83" s="47"/>
      <c r="B83" s="48"/>
      <c r="C83" s="48"/>
      <c r="D83" s="43"/>
      <c r="E83" s="173"/>
      <c r="F83" s="4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20" s="50" customFormat="1">
      <c r="A84" s="57" t="s">
        <v>31</v>
      </c>
      <c r="B84" s="51">
        <f>B77</f>
        <v>0.75</v>
      </c>
      <c r="C84" s="51">
        <f>C77</f>
        <v>0</v>
      </c>
      <c r="D84" s="78">
        <f t="shared" ref="D84:Q84" si="29">SUM(D77:D79,D81:D82)</f>
        <v>58339</v>
      </c>
      <c r="E84" s="206"/>
      <c r="F84" s="78">
        <f>SUM(F77:F79,F81:F82)</f>
        <v>2524073369.856667</v>
      </c>
      <c r="G84" s="79">
        <f t="shared" si="29"/>
        <v>1674207.2996910112</v>
      </c>
      <c r="H84" s="79">
        <f t="shared" si="29"/>
        <v>17985193.784073032</v>
      </c>
      <c r="I84" s="79">
        <f t="shared" si="29"/>
        <v>0</v>
      </c>
      <c r="J84" s="79">
        <f t="shared" si="29"/>
        <v>726631.59033707867</v>
      </c>
      <c r="K84" s="79">
        <f t="shared" si="29"/>
        <v>1128.02</v>
      </c>
      <c r="L84" s="79">
        <f t="shared" si="29"/>
        <v>18933897.513426967</v>
      </c>
      <c r="M84" s="79">
        <f t="shared" si="29"/>
        <v>3577716.7320224722</v>
      </c>
      <c r="N84" s="79">
        <f t="shared" si="29"/>
        <v>15356180.781404495</v>
      </c>
      <c r="O84" s="79">
        <f t="shared" si="29"/>
        <v>0</v>
      </c>
      <c r="P84" s="79">
        <f t="shared" si="29"/>
        <v>373194.85865168535</v>
      </c>
      <c r="Q84" s="79">
        <f t="shared" si="29"/>
        <v>14982985.922752809</v>
      </c>
      <c r="S84" s="184">
        <f>B84/B98</f>
        <v>0.5617977528089888</v>
      </c>
    </row>
    <row r="85" spans="1:20">
      <c r="A85" s="47"/>
      <c r="B85" s="48"/>
      <c r="C85" s="48"/>
      <c r="D85" s="43"/>
      <c r="E85" s="173"/>
      <c r="F85" s="43"/>
      <c r="G85" s="53"/>
      <c r="H85" s="53"/>
      <c r="I85" s="53"/>
      <c r="J85" s="53"/>
      <c r="K85" s="53"/>
      <c r="L85" s="505" t="s">
        <v>388</v>
      </c>
      <c r="M85" s="506">
        <f>M84/L84</f>
        <v>0.18895828127755185</v>
      </c>
      <c r="N85" s="53"/>
      <c r="O85" s="53"/>
      <c r="P85" s="53"/>
      <c r="Q85" s="53"/>
    </row>
    <row r="86" spans="1:20">
      <c r="A86" s="47"/>
      <c r="B86" s="48"/>
      <c r="C86" s="48"/>
      <c r="D86" s="43"/>
      <c r="E86" s="173"/>
      <c r="F86" s="43"/>
      <c r="G86" s="81">
        <f>G81+G93</f>
        <v>1543684.13</v>
      </c>
      <c r="H86" s="81">
        <f t="shared" ref="H86:Q87" si="30">H81+H93</f>
        <v>1982169.27</v>
      </c>
      <c r="I86" s="81">
        <f t="shared" si="30"/>
        <v>0</v>
      </c>
      <c r="J86" s="81">
        <f t="shared" si="30"/>
        <v>950925.36</v>
      </c>
      <c r="K86" s="81">
        <f t="shared" si="30"/>
        <v>0</v>
      </c>
      <c r="L86" s="81">
        <f t="shared" si="30"/>
        <v>2574928.04</v>
      </c>
      <c r="M86" s="81">
        <f t="shared" si="30"/>
        <v>571684.17000000004</v>
      </c>
      <c r="N86" s="81">
        <f t="shared" si="30"/>
        <v>2003243.8699999999</v>
      </c>
      <c r="O86" s="81">
        <f t="shared" si="30"/>
        <v>0</v>
      </c>
      <c r="P86" s="81">
        <f t="shared" si="30"/>
        <v>111419.13</v>
      </c>
      <c r="Q86" s="81">
        <f t="shared" si="30"/>
        <v>1891824.74</v>
      </c>
    </row>
    <row r="87" spans="1:20">
      <c r="A87" s="54" t="s">
        <v>32</v>
      </c>
      <c r="B87" s="48"/>
      <c r="C87" s="48"/>
      <c r="D87" s="43"/>
      <c r="E87" s="173"/>
      <c r="F87" s="64"/>
      <c r="G87" s="81">
        <f>G82+G94</f>
        <v>394736.31</v>
      </c>
      <c r="H87" s="81">
        <f t="shared" si="30"/>
        <v>438.77</v>
      </c>
      <c r="I87" s="81">
        <f t="shared" si="30"/>
        <v>0</v>
      </c>
      <c r="J87" s="81">
        <f t="shared" si="30"/>
        <v>0</v>
      </c>
      <c r="K87" s="81">
        <f t="shared" si="30"/>
        <v>0</v>
      </c>
      <c r="L87" s="81">
        <f t="shared" si="30"/>
        <v>395175.07999999996</v>
      </c>
      <c r="M87" s="81">
        <f t="shared" si="30"/>
        <v>0</v>
      </c>
      <c r="N87" s="81">
        <f t="shared" si="30"/>
        <v>395175.07999999996</v>
      </c>
      <c r="O87" s="81">
        <f t="shared" si="30"/>
        <v>0</v>
      </c>
      <c r="P87" s="81">
        <f t="shared" si="30"/>
        <v>53.51</v>
      </c>
      <c r="Q87" s="81">
        <f t="shared" si="30"/>
        <v>395121.57</v>
      </c>
    </row>
    <row r="88" spans="1:20">
      <c r="A88" s="47"/>
      <c r="B88" s="48"/>
      <c r="C88" s="48"/>
      <c r="D88" s="43"/>
      <c r="E88" s="65">
        <v>78027607</v>
      </c>
      <c r="F88" s="43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20">
      <c r="A89" s="49" t="s">
        <v>15</v>
      </c>
      <c r="B89" s="48">
        <v>0.58499999999999996</v>
      </c>
      <c r="C89" s="48">
        <v>0</v>
      </c>
      <c r="D89" s="43">
        <v>58339</v>
      </c>
      <c r="E89" s="173">
        <f>G89/B89*100</f>
        <v>30699064.957264956</v>
      </c>
      <c r="F89" s="43">
        <v>2047190541</v>
      </c>
      <c r="G89" s="53">
        <v>179589.53</v>
      </c>
      <c r="H89" s="53">
        <v>11948255.9</v>
      </c>
      <c r="I89" s="53">
        <v>0</v>
      </c>
      <c r="J89" s="53">
        <v>150073.74</v>
      </c>
      <c r="K89" s="53">
        <v>879.8</v>
      </c>
      <c r="L89" s="53">
        <f t="shared" ref="L89" si="31">G89+H89+I89-J89+K89</f>
        <v>11978651.49</v>
      </c>
      <c r="M89" s="53">
        <v>2540162.59</v>
      </c>
      <c r="N89" s="53">
        <f>L89-M89</f>
        <v>9438488.9000000004</v>
      </c>
      <c r="O89" s="53">
        <v>0</v>
      </c>
      <c r="P89" s="53">
        <v>27722.79</v>
      </c>
      <c r="Q89" s="53">
        <f>N89-O89-P89</f>
        <v>9410766.1100000013</v>
      </c>
    </row>
    <row r="90" spans="1:20">
      <c r="A90" s="47" t="s">
        <v>16</v>
      </c>
      <c r="B90" s="48">
        <f>B89</f>
        <v>0.58499999999999996</v>
      </c>
      <c r="C90" s="48">
        <f>C89</f>
        <v>0</v>
      </c>
      <c r="D90" s="43"/>
      <c r="E90" s="173"/>
      <c r="F90" s="65">
        <f>IF(E88&gt;E89,E88-E89,0)</f>
        <v>47328542.04273504</v>
      </c>
      <c r="G90" s="53">
        <f>F90*(B90-C90)/100</f>
        <v>276871.97094999993</v>
      </c>
      <c r="H90" s="53"/>
      <c r="I90" s="53">
        <f>F90*C90/100</f>
        <v>0</v>
      </c>
      <c r="J90" s="53"/>
      <c r="K90" s="53"/>
      <c r="L90" s="53">
        <f>G90+H90+I90-J90+K90</f>
        <v>276871.97094999993</v>
      </c>
      <c r="M90" s="53"/>
      <c r="N90" s="53">
        <f>L90-M90</f>
        <v>276871.97094999993</v>
      </c>
      <c r="O90" s="53"/>
      <c r="P90" s="53"/>
      <c r="Q90" s="53">
        <f>N90-O90-P90</f>
        <v>276871.97094999993</v>
      </c>
    </row>
    <row r="91" spans="1:20">
      <c r="A91" s="47" t="s">
        <v>17</v>
      </c>
      <c r="B91" s="48">
        <f>B89</f>
        <v>0.58499999999999996</v>
      </c>
      <c r="C91" s="48">
        <f>C89</f>
        <v>0</v>
      </c>
      <c r="D91" s="43"/>
      <c r="E91" s="173"/>
      <c r="F91" s="66">
        <v>207075199</v>
      </c>
      <c r="G91" s="53"/>
      <c r="H91" s="53">
        <f>F91*(B91-C91)/100</f>
        <v>1211389.9141499999</v>
      </c>
      <c r="I91" s="53">
        <f>F91*C91/100</f>
        <v>0</v>
      </c>
      <c r="J91" s="53">
        <v>0</v>
      </c>
      <c r="K91" s="53">
        <v>0</v>
      </c>
      <c r="L91" s="53">
        <f>G91+H91+I91-J91+K91</f>
        <v>1211389.9141499999</v>
      </c>
      <c r="M91" s="53">
        <v>0</v>
      </c>
      <c r="N91" s="53">
        <f>L91-M91</f>
        <v>1211389.9141499999</v>
      </c>
      <c r="O91" s="53">
        <v>0</v>
      </c>
      <c r="P91" s="320">
        <v>214521.64</v>
      </c>
      <c r="Q91" s="53">
        <f>N91-O91-P91</f>
        <v>996868.27414999984</v>
      </c>
    </row>
    <row r="92" spans="1:20">
      <c r="A92" s="47" t="s">
        <v>18</v>
      </c>
      <c r="B92" s="48"/>
      <c r="C92" s="48"/>
      <c r="D92" s="43"/>
      <c r="E92" s="173"/>
      <c r="F92" s="4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1:20">
      <c r="A93" s="67" t="s">
        <v>19</v>
      </c>
      <c r="B93" s="48">
        <f>B89</f>
        <v>0.58499999999999996</v>
      </c>
      <c r="C93" s="48">
        <f>C89</f>
        <v>0</v>
      </c>
      <c r="D93" s="43"/>
      <c r="E93" s="173"/>
      <c r="F93" s="413">
        <v>192878503.41</v>
      </c>
      <c r="G93" s="53">
        <f>1543684.13*S96</f>
        <v>676445.85471910099</v>
      </c>
      <c r="H93" s="53">
        <f>1982169.27*S96</f>
        <v>868591.02842696616</v>
      </c>
      <c r="I93" s="53">
        <v>0</v>
      </c>
      <c r="J93" s="53">
        <f>950925.36*S96</f>
        <v>416697.6296629213</v>
      </c>
      <c r="K93" s="53">
        <v>0</v>
      </c>
      <c r="L93" s="53">
        <f t="shared" ref="L93" si="32">G93+H93+I93-J93+K93</f>
        <v>1128339.253483146</v>
      </c>
      <c r="M93" s="53">
        <f>571684.17*S96</f>
        <v>250513.28797752809</v>
      </c>
      <c r="N93" s="18">
        <f>L93-M93</f>
        <v>877825.9655056179</v>
      </c>
      <c r="O93" s="53">
        <v>0</v>
      </c>
      <c r="P93" s="53">
        <f>111419.13*S96</f>
        <v>48824.113146067415</v>
      </c>
      <c r="Q93" s="53">
        <f>N93-O93-P93</f>
        <v>829001.85235955054</v>
      </c>
      <c r="S93" s="381">
        <f>+Q93+Q81</f>
        <v>1891824.74</v>
      </c>
    </row>
    <row r="94" spans="1:20">
      <c r="A94" s="67" t="s">
        <v>20</v>
      </c>
      <c r="B94" s="48">
        <f>B89</f>
        <v>0.58499999999999996</v>
      </c>
      <c r="C94" s="48">
        <f>C89</f>
        <v>0</v>
      </c>
      <c r="D94" s="43"/>
      <c r="E94" s="173"/>
      <c r="F94" s="13">
        <v>29601132.780000001</v>
      </c>
      <c r="G94" s="18">
        <f>394736.31*S96</f>
        <v>172974.33808988763</v>
      </c>
      <c r="H94" s="18">
        <f>438.77*S96</f>
        <v>192.26999999999998</v>
      </c>
      <c r="I94" s="18">
        <v>0</v>
      </c>
      <c r="J94" s="18">
        <v>0</v>
      </c>
      <c r="K94" s="18">
        <v>0</v>
      </c>
      <c r="L94" s="18">
        <f t="shared" ref="L94" si="33">G94+H94+I94-J94+K94</f>
        <v>173166.60808988762</v>
      </c>
      <c r="M94" s="18">
        <v>0</v>
      </c>
      <c r="N94" s="18">
        <f>L94-M94</f>
        <v>173166.60808988762</v>
      </c>
      <c r="O94" s="18">
        <v>0</v>
      </c>
      <c r="P94" s="18">
        <f>53.51*S96</f>
        <v>23.448202247191009</v>
      </c>
      <c r="Q94" s="53">
        <f>N94-O94-P94</f>
        <v>173143.15988764045</v>
      </c>
      <c r="S94" s="320">
        <f>+Q82+Q94</f>
        <v>395121.57</v>
      </c>
      <c r="T94" s="49">
        <f>89372.11-89491.12</f>
        <v>-119.00999999999476</v>
      </c>
    </row>
    <row r="95" spans="1:20">
      <c r="A95" s="47"/>
      <c r="B95" s="48"/>
      <c r="C95" s="48"/>
      <c r="D95" s="43"/>
      <c r="E95" s="173"/>
      <c r="F95" s="4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1:20" s="50" customFormat="1" ht="13.5" thickBot="1">
      <c r="A96" s="60" t="str">
        <f>"TOTAL "&amp;A87</f>
        <v>TOTAL SCHOOL DEBT</v>
      </c>
      <c r="B96" s="51">
        <f>B89</f>
        <v>0.58499999999999996</v>
      </c>
      <c r="C96" s="51">
        <f>C89</f>
        <v>0</v>
      </c>
      <c r="D96" s="78">
        <f t="shared" ref="D96:Q96" si="34">SUM(D89:D91,D93:D94)</f>
        <v>58339</v>
      </c>
      <c r="E96" s="206"/>
      <c r="F96" s="78">
        <f t="shared" si="34"/>
        <v>2524073918.2327352</v>
      </c>
      <c r="G96" s="79">
        <f t="shared" si="34"/>
        <v>1305881.6937589883</v>
      </c>
      <c r="H96" s="79">
        <f t="shared" si="34"/>
        <v>14028429.112576965</v>
      </c>
      <c r="I96" s="79">
        <f t="shared" si="34"/>
        <v>0</v>
      </c>
      <c r="J96" s="79">
        <f t="shared" si="34"/>
        <v>566771.36966292129</v>
      </c>
      <c r="K96" s="79">
        <f t="shared" si="34"/>
        <v>879.8</v>
      </c>
      <c r="L96" s="79">
        <f t="shared" si="34"/>
        <v>14768419.236673035</v>
      </c>
      <c r="M96" s="79">
        <f t="shared" si="34"/>
        <v>2790675.8779775281</v>
      </c>
      <c r="N96" s="79">
        <f t="shared" si="34"/>
        <v>11977743.358695507</v>
      </c>
      <c r="O96" s="79">
        <f t="shared" si="34"/>
        <v>0</v>
      </c>
      <c r="P96" s="79">
        <f t="shared" si="34"/>
        <v>291091.99134831462</v>
      </c>
      <c r="Q96" s="79">
        <f t="shared" si="34"/>
        <v>11686651.36734719</v>
      </c>
      <c r="S96" s="184">
        <f>B96/B98</f>
        <v>0.4382022471910112</v>
      </c>
    </row>
    <row r="97" spans="1:19">
      <c r="A97" s="47"/>
      <c r="B97" s="48"/>
      <c r="C97" s="48"/>
      <c r="D97" s="43"/>
      <c r="E97" s="173"/>
      <c r="F97" s="4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1:19" s="50" customFormat="1" ht="13.5" thickBot="1">
      <c r="A98" s="60" t="str">
        <f>"TOTAL "&amp;A75</f>
        <v>TOTAL SCHOOL DISTRICT</v>
      </c>
      <c r="B98" s="68">
        <f>B84+B96</f>
        <v>1.335</v>
      </c>
      <c r="C98" s="68">
        <f>C84+C96</f>
        <v>0</v>
      </c>
      <c r="D98" s="69">
        <f>D84</f>
        <v>58339</v>
      </c>
      <c r="E98" s="204"/>
      <c r="F98" s="69">
        <f>F84</f>
        <v>2524073369.856667</v>
      </c>
      <c r="G98" s="70">
        <f t="shared" ref="G98:Q98" si="35">G84+G96</f>
        <v>2980088.9934499995</v>
      </c>
      <c r="H98" s="70">
        <f t="shared" si="35"/>
        <v>32013622.896649998</v>
      </c>
      <c r="I98" s="70">
        <f t="shared" si="35"/>
        <v>0</v>
      </c>
      <c r="J98" s="70">
        <f t="shared" si="35"/>
        <v>1293402.96</v>
      </c>
      <c r="K98" s="70">
        <f t="shared" si="35"/>
        <v>2007.82</v>
      </c>
      <c r="L98" s="70">
        <f t="shared" si="35"/>
        <v>33702316.750100002</v>
      </c>
      <c r="M98" s="70">
        <f t="shared" si="35"/>
        <v>6368392.6100000003</v>
      </c>
      <c r="N98" s="70">
        <f t="shared" si="35"/>
        <v>27333924.140100002</v>
      </c>
      <c r="O98" s="70">
        <f t="shared" si="35"/>
        <v>0</v>
      </c>
      <c r="P98" s="70">
        <f t="shared" si="35"/>
        <v>664286.85</v>
      </c>
      <c r="Q98" s="70">
        <f t="shared" si="35"/>
        <v>26669637.290100001</v>
      </c>
      <c r="S98" s="51"/>
    </row>
    <row r="99" spans="1:19">
      <c r="A99" s="150" t="s">
        <v>355</v>
      </c>
      <c r="B99" s="48"/>
      <c r="C99" s="48"/>
      <c r="D99" s="43"/>
      <c r="E99" s="173"/>
      <c r="F99" s="64">
        <v>2515761046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1:19">
      <c r="A100" s="151" t="s">
        <v>30</v>
      </c>
      <c r="B100" s="51"/>
      <c r="C100" s="51"/>
      <c r="D100" s="52"/>
      <c r="E100" s="203"/>
      <c r="F100" s="152">
        <f>F98-F99</f>
        <v>8312323.8566670418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9">
      <c r="A101" s="54" t="s">
        <v>195</v>
      </c>
      <c r="B101" s="48"/>
      <c r="C101" s="48"/>
      <c r="D101" s="43"/>
      <c r="E101" s="173"/>
      <c r="F101" s="43"/>
      <c r="G101" s="64"/>
      <c r="H101" s="53"/>
      <c r="I101" s="53"/>
      <c r="J101" s="53"/>
      <c r="K101" s="53"/>
      <c r="L101" s="53"/>
      <c r="M101" s="53"/>
      <c r="N101" s="53"/>
      <c r="O101" s="53"/>
      <c r="P101" s="53"/>
      <c r="Q101" s="53"/>
    </row>
    <row r="102" spans="1:19">
      <c r="A102" s="50"/>
      <c r="B102" s="51"/>
      <c r="C102" s="51"/>
      <c r="D102" s="52"/>
      <c r="E102" s="65">
        <v>2649473</v>
      </c>
      <c r="F102" s="52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1:19">
      <c r="A103" s="49" t="s">
        <v>15</v>
      </c>
      <c r="B103" s="48">
        <v>0.49490000000000001</v>
      </c>
      <c r="C103" s="48">
        <v>0</v>
      </c>
      <c r="D103" s="43">
        <v>1958</v>
      </c>
      <c r="E103" s="173">
        <f>G103/B103*100</f>
        <v>0</v>
      </c>
      <c r="F103" s="43">
        <v>39041394</v>
      </c>
      <c r="G103" s="53">
        <v>0</v>
      </c>
      <c r="H103" s="53">
        <v>194187.11</v>
      </c>
      <c r="I103" s="53">
        <v>0</v>
      </c>
      <c r="J103" s="53">
        <v>970.29</v>
      </c>
      <c r="K103" s="53">
        <v>0</v>
      </c>
      <c r="L103" s="53">
        <f>G103+H103+I103-J103+K103</f>
        <v>193216.81999999998</v>
      </c>
      <c r="M103" s="53">
        <v>18408.560000000001</v>
      </c>
      <c r="N103" s="53">
        <f>L103-M103</f>
        <v>174808.25999999998</v>
      </c>
      <c r="O103" s="53">
        <v>0</v>
      </c>
      <c r="P103" s="53">
        <v>0</v>
      </c>
      <c r="Q103" s="53">
        <f>N103-O103-P103</f>
        <v>174808.25999999998</v>
      </c>
    </row>
    <row r="104" spans="1:19">
      <c r="A104" s="47" t="s">
        <v>16</v>
      </c>
      <c r="B104" s="48">
        <f>B103</f>
        <v>0.49490000000000001</v>
      </c>
      <c r="C104" s="48">
        <f>C103</f>
        <v>0</v>
      </c>
      <c r="D104" s="43"/>
      <c r="E104" s="173"/>
      <c r="F104" s="65">
        <f>IF(E102&gt;E103,E102-E103,0)</f>
        <v>2649473</v>
      </c>
      <c r="G104" s="53">
        <f>F104*(B104-C104)/100</f>
        <v>13112.241877</v>
      </c>
      <c r="H104" s="53"/>
      <c r="I104" s="53">
        <f>F104*C104/100</f>
        <v>0</v>
      </c>
      <c r="J104" s="53"/>
      <c r="K104" s="53"/>
      <c r="L104" s="53">
        <f>G104+H104+I104-J104+K104</f>
        <v>13112.241877</v>
      </c>
      <c r="M104" s="53"/>
      <c r="N104" s="53">
        <f>L104-M104</f>
        <v>13112.241877</v>
      </c>
      <c r="O104" s="53"/>
      <c r="P104" s="53"/>
      <c r="Q104" s="53">
        <f>N104-O104-P104</f>
        <v>13112.241877</v>
      </c>
    </row>
    <row r="105" spans="1:19">
      <c r="A105" s="47" t="s">
        <v>17</v>
      </c>
      <c r="B105" s="48">
        <f>B103</f>
        <v>0.49490000000000001</v>
      </c>
      <c r="C105" s="48">
        <f>C103</f>
        <v>0</v>
      </c>
      <c r="D105" s="43"/>
      <c r="E105" s="173"/>
      <c r="F105" s="66">
        <v>26785671</v>
      </c>
      <c r="G105" s="53"/>
      <c r="H105" s="53">
        <f>F105*(B105-C105)/100</f>
        <v>132562.285779</v>
      </c>
      <c r="I105" s="53">
        <f>F105*C105/100</f>
        <v>0</v>
      </c>
      <c r="J105" s="53">
        <v>0</v>
      </c>
      <c r="K105" s="53">
        <v>0</v>
      </c>
      <c r="L105" s="53">
        <f>G105+H105+I105-J105+K105</f>
        <v>132562.285779</v>
      </c>
      <c r="M105" s="53">
        <v>0</v>
      </c>
      <c r="N105" s="53">
        <f>L105-M105</f>
        <v>132562.285779</v>
      </c>
      <c r="O105" s="53">
        <v>0</v>
      </c>
      <c r="P105" s="320">
        <v>63650.35</v>
      </c>
      <c r="Q105" s="53">
        <f>N105-O105-P105</f>
        <v>68911.935778999992</v>
      </c>
    </row>
    <row r="106" spans="1:19">
      <c r="A106" s="47" t="s">
        <v>18</v>
      </c>
      <c r="B106" s="48"/>
      <c r="C106" s="48"/>
      <c r="D106" s="43"/>
      <c r="E106" s="173"/>
      <c r="F106" s="4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</row>
    <row r="107" spans="1:19">
      <c r="A107" s="67" t="s">
        <v>19</v>
      </c>
      <c r="B107" s="48">
        <f>B103</f>
        <v>0.49490000000000001</v>
      </c>
      <c r="C107" s="48">
        <f>C103</f>
        <v>0</v>
      </c>
      <c r="D107" s="43"/>
      <c r="E107" s="173"/>
      <c r="F107" s="43">
        <v>4679526.9400000004</v>
      </c>
      <c r="G107" s="53">
        <v>0</v>
      </c>
      <c r="H107" s="53">
        <v>23163.35</v>
      </c>
      <c r="I107" s="53">
        <v>0</v>
      </c>
      <c r="J107" s="53">
        <v>882.76</v>
      </c>
      <c r="K107" s="53">
        <v>0</v>
      </c>
      <c r="L107" s="53">
        <f>G107+H107+I107-J107+K107</f>
        <v>22280.59</v>
      </c>
      <c r="M107" s="53">
        <v>0</v>
      </c>
      <c r="N107" s="53">
        <f>L107-M107</f>
        <v>22280.59</v>
      </c>
      <c r="O107" s="53">
        <v>0</v>
      </c>
      <c r="P107" s="53">
        <v>0</v>
      </c>
      <c r="Q107" s="53">
        <f>N107-O107-P107</f>
        <v>22280.59</v>
      </c>
    </row>
    <row r="108" spans="1:19">
      <c r="A108" s="67" t="s">
        <v>20</v>
      </c>
      <c r="B108" s="48">
        <f>B103</f>
        <v>0.49490000000000001</v>
      </c>
      <c r="C108" s="48">
        <f>C103</f>
        <v>0</v>
      </c>
      <c r="D108" s="43"/>
      <c r="E108" s="173"/>
      <c r="F108" s="43">
        <v>918840.03</v>
      </c>
      <c r="G108" s="53">
        <v>4547.34</v>
      </c>
      <c r="H108" s="53">
        <v>0</v>
      </c>
      <c r="I108" s="53">
        <v>0</v>
      </c>
      <c r="J108" s="53">
        <v>0</v>
      </c>
      <c r="K108" s="53">
        <v>0</v>
      </c>
      <c r="L108" s="53">
        <f>G108+H108+I108-J108+K108</f>
        <v>4547.34</v>
      </c>
      <c r="M108" s="53">
        <v>0</v>
      </c>
      <c r="N108" s="53">
        <f>L108-M108</f>
        <v>4547.34</v>
      </c>
      <c r="O108" s="53">
        <v>0</v>
      </c>
      <c r="P108" s="53">
        <v>0</v>
      </c>
      <c r="Q108" s="53">
        <f>N108-O108-P108</f>
        <v>4547.34</v>
      </c>
    </row>
    <row r="109" spans="1:19">
      <c r="A109" s="47"/>
      <c r="B109" s="48"/>
      <c r="C109" s="48"/>
      <c r="D109" s="43"/>
      <c r="E109" s="173"/>
      <c r="F109" s="4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1:19" s="50" customFormat="1" ht="13.5" thickBot="1">
      <c r="A110" s="60" t="str">
        <f>"TOTAL "&amp;A101</f>
        <v>TOTAL AMARGOSA TOWN</v>
      </c>
      <c r="B110" s="68">
        <f>B103</f>
        <v>0.49490000000000001</v>
      </c>
      <c r="C110" s="68">
        <f>C103</f>
        <v>0</v>
      </c>
      <c r="D110" s="69">
        <f t="shared" ref="D110:Q110" si="36">SUM(D103:D105,D107:D108)</f>
        <v>1958</v>
      </c>
      <c r="E110" s="204"/>
      <c r="F110" s="69">
        <f t="shared" si="36"/>
        <v>74074904.969999999</v>
      </c>
      <c r="G110" s="70">
        <f t="shared" si="36"/>
        <v>17659.581877000001</v>
      </c>
      <c r="H110" s="70">
        <f t="shared" si="36"/>
        <v>349912.74577899999</v>
      </c>
      <c r="I110" s="70">
        <f t="shared" si="36"/>
        <v>0</v>
      </c>
      <c r="J110" s="70">
        <f t="shared" si="36"/>
        <v>1853.05</v>
      </c>
      <c r="K110" s="70">
        <f t="shared" si="36"/>
        <v>0</v>
      </c>
      <c r="L110" s="70">
        <f t="shared" si="36"/>
        <v>365719.27765599999</v>
      </c>
      <c r="M110" s="70">
        <f t="shared" si="36"/>
        <v>18408.560000000001</v>
      </c>
      <c r="N110" s="70">
        <f t="shared" si="36"/>
        <v>347310.71765600005</v>
      </c>
      <c r="O110" s="70">
        <f t="shared" si="36"/>
        <v>0</v>
      </c>
      <c r="P110" s="70">
        <f t="shared" si="36"/>
        <v>63650.35</v>
      </c>
      <c r="Q110" s="70">
        <f t="shared" si="36"/>
        <v>283660.36765600002</v>
      </c>
    </row>
    <row r="111" spans="1:19">
      <c r="A111" s="150" t="s">
        <v>355</v>
      </c>
      <c r="B111" s="48"/>
      <c r="C111" s="48"/>
      <c r="D111" s="43"/>
      <c r="E111" s="173"/>
      <c r="F111" s="64">
        <v>73897416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19">
      <c r="A112" s="151" t="s">
        <v>30</v>
      </c>
      <c r="B112" s="51"/>
      <c r="C112" s="51"/>
      <c r="D112" s="52"/>
      <c r="E112" s="203"/>
      <c r="F112" s="152">
        <f>F110-F111</f>
        <v>177488.96999999881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>
      <c r="A113" s="54" t="s">
        <v>196</v>
      </c>
      <c r="B113" s="51"/>
      <c r="C113" s="51"/>
      <c r="D113" s="52"/>
      <c r="E113" s="203"/>
      <c r="F113" s="52"/>
      <c r="G113" s="64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>
      <c r="A114" s="47"/>
      <c r="B114" s="48"/>
      <c r="C114" s="48"/>
      <c r="D114" s="43"/>
      <c r="E114" s="65">
        <v>1992246</v>
      </c>
      <c r="F114" s="4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1:17">
      <c r="A115" s="49" t="s">
        <v>15</v>
      </c>
      <c r="B115" s="48">
        <v>0.21049999999999999</v>
      </c>
      <c r="C115" s="48">
        <v>0</v>
      </c>
      <c r="D115" s="43">
        <v>767</v>
      </c>
      <c r="E115" s="173">
        <f>G115/B115*100</f>
        <v>647800.47505938238</v>
      </c>
      <c r="F115" s="43">
        <v>19887946</v>
      </c>
      <c r="G115" s="53">
        <v>1363.62</v>
      </c>
      <c r="H115" s="53">
        <v>41025.300000000003</v>
      </c>
      <c r="I115" s="53">
        <v>0</v>
      </c>
      <c r="J115" s="53">
        <v>524.65</v>
      </c>
      <c r="K115" s="53">
        <v>0</v>
      </c>
      <c r="L115" s="53">
        <f>G115+H115+I115-J115+K115</f>
        <v>41864.270000000004</v>
      </c>
      <c r="M115" s="53">
        <v>3969.38</v>
      </c>
      <c r="N115" s="53">
        <f>L115-M115</f>
        <v>37894.890000000007</v>
      </c>
      <c r="O115" s="53">
        <v>0</v>
      </c>
      <c r="P115" s="53">
        <v>0</v>
      </c>
      <c r="Q115" s="53">
        <f>N115-O115-P115</f>
        <v>37894.890000000007</v>
      </c>
    </row>
    <row r="116" spans="1:17">
      <c r="A116" s="47" t="s">
        <v>16</v>
      </c>
      <c r="B116" s="48">
        <f>B115</f>
        <v>0.21049999999999999</v>
      </c>
      <c r="C116" s="48">
        <f>C115</f>
        <v>0</v>
      </c>
      <c r="D116" s="43"/>
      <c r="E116" s="173"/>
      <c r="F116" s="65">
        <f>IF(E114&gt;E115,E114-E115,0)</f>
        <v>1344445.5249406176</v>
      </c>
      <c r="G116" s="53">
        <f>F116*(B116-C116)/100</f>
        <v>2830.0578299999997</v>
      </c>
      <c r="H116" s="53"/>
      <c r="I116" s="53">
        <f>F116*C116/100</f>
        <v>0</v>
      </c>
      <c r="J116" s="53"/>
      <c r="K116" s="53"/>
      <c r="L116" s="53">
        <f>G116+H116+I116-J116+K116</f>
        <v>2830.0578299999997</v>
      </c>
      <c r="M116" s="53"/>
      <c r="N116" s="53">
        <f>L116-M116</f>
        <v>2830.0578299999997</v>
      </c>
      <c r="O116" s="53"/>
      <c r="P116" s="53"/>
      <c r="Q116" s="53">
        <f>N116-O116-P116</f>
        <v>2830.0578299999997</v>
      </c>
    </row>
    <row r="117" spans="1:17">
      <c r="A117" s="47" t="s">
        <v>17</v>
      </c>
      <c r="B117" s="48">
        <f>B115</f>
        <v>0.21049999999999999</v>
      </c>
      <c r="C117" s="48">
        <f>C115</f>
        <v>0</v>
      </c>
      <c r="D117" s="43"/>
      <c r="E117" s="173"/>
      <c r="F117" s="66">
        <v>3079740</v>
      </c>
      <c r="G117" s="53"/>
      <c r="H117" s="53">
        <f>F117*(B117-C117)/100</f>
        <v>6482.8527000000004</v>
      </c>
      <c r="I117" s="53">
        <f>F117*C117/100</f>
        <v>0</v>
      </c>
      <c r="J117" s="53">
        <v>0</v>
      </c>
      <c r="K117" s="53">
        <v>0</v>
      </c>
      <c r="L117" s="53">
        <f>G117+H117+I117-J117+K117</f>
        <v>6482.8527000000004</v>
      </c>
      <c r="M117" s="53">
        <v>0</v>
      </c>
      <c r="N117" s="53">
        <f>L117-M117</f>
        <v>6482.8527000000004</v>
      </c>
      <c r="O117" s="53">
        <v>0</v>
      </c>
      <c r="P117" s="53">
        <v>0</v>
      </c>
      <c r="Q117" s="53">
        <f>N117-O117-P117</f>
        <v>6482.8527000000004</v>
      </c>
    </row>
    <row r="118" spans="1:17">
      <c r="A118" s="47" t="s">
        <v>18</v>
      </c>
      <c r="B118" s="48"/>
      <c r="C118" s="48"/>
      <c r="D118" s="43"/>
      <c r="E118" s="173"/>
      <c r="F118" s="4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</row>
    <row r="119" spans="1:17">
      <c r="A119" s="67" t="s">
        <v>19</v>
      </c>
      <c r="B119" s="48">
        <f>B115</f>
        <v>0.21049999999999999</v>
      </c>
      <c r="C119" s="48">
        <f>C115</f>
        <v>0</v>
      </c>
      <c r="D119" s="43"/>
      <c r="E119" s="173"/>
      <c r="F119" s="43">
        <v>4446568.47</v>
      </c>
      <c r="G119" s="53">
        <v>0</v>
      </c>
      <c r="H119" s="53">
        <v>9360.5</v>
      </c>
      <c r="I119" s="53">
        <v>0</v>
      </c>
      <c r="J119" s="53">
        <v>224.78</v>
      </c>
      <c r="K119" s="53">
        <v>0</v>
      </c>
      <c r="L119" s="53">
        <f>G119+H119+I119-J119+K119</f>
        <v>9135.7199999999993</v>
      </c>
      <c r="M119" s="53">
        <v>2721.99</v>
      </c>
      <c r="N119" s="53">
        <f>L119-M119</f>
        <v>6413.73</v>
      </c>
      <c r="O119" s="53">
        <v>0</v>
      </c>
      <c r="P119" s="53">
        <v>0</v>
      </c>
      <c r="Q119" s="53">
        <f>N119-O119-P119</f>
        <v>6413.73</v>
      </c>
    </row>
    <row r="120" spans="1:17">
      <c r="A120" s="67" t="s">
        <v>20</v>
      </c>
      <c r="B120" s="48">
        <f>B115</f>
        <v>0.21049999999999999</v>
      </c>
      <c r="C120" s="48">
        <f>C115</f>
        <v>0</v>
      </c>
      <c r="D120" s="43"/>
      <c r="E120" s="173"/>
      <c r="F120" s="43">
        <v>1171089.08</v>
      </c>
      <c r="G120" s="53">
        <v>2465.14</v>
      </c>
      <c r="H120" s="53"/>
      <c r="I120" s="53">
        <v>0</v>
      </c>
      <c r="J120" s="53">
        <v>0</v>
      </c>
      <c r="K120" s="53">
        <v>0</v>
      </c>
      <c r="L120" s="53">
        <f>G120+H120+I120-J120+K120</f>
        <v>2465.14</v>
      </c>
      <c r="M120" s="53">
        <v>0</v>
      </c>
      <c r="N120" s="53">
        <f>L120-M120</f>
        <v>2465.14</v>
      </c>
      <c r="O120" s="53">
        <v>0</v>
      </c>
      <c r="P120" s="53">
        <v>0</v>
      </c>
      <c r="Q120" s="53">
        <f>N120-O120-P120</f>
        <v>2465.14</v>
      </c>
    </row>
    <row r="121" spans="1:17">
      <c r="A121" s="47"/>
      <c r="B121" s="48"/>
      <c r="C121" s="48"/>
      <c r="D121" s="43"/>
      <c r="E121" s="173"/>
      <c r="F121" s="4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</row>
    <row r="122" spans="1:17" s="50" customFormat="1" ht="13.5" thickBot="1">
      <c r="A122" s="60" t="str">
        <f>"TOTAL "&amp;A113</f>
        <v>TOTAL BEATTY TOWN</v>
      </c>
      <c r="B122" s="68">
        <f>B115</f>
        <v>0.21049999999999999</v>
      </c>
      <c r="C122" s="68">
        <f>C115</f>
        <v>0</v>
      </c>
      <c r="D122" s="69">
        <f t="shared" ref="D122:Q122" si="37">SUM(D115:D117,D119:D120)</f>
        <v>767</v>
      </c>
      <c r="E122" s="204"/>
      <c r="F122" s="69">
        <f t="shared" si="37"/>
        <v>29929789.074940614</v>
      </c>
      <c r="G122" s="70">
        <f t="shared" si="37"/>
        <v>6658.81783</v>
      </c>
      <c r="H122" s="70">
        <f t="shared" si="37"/>
        <v>56868.652700000006</v>
      </c>
      <c r="I122" s="70">
        <f t="shared" si="37"/>
        <v>0</v>
      </c>
      <c r="J122" s="70">
        <f t="shared" si="37"/>
        <v>749.43</v>
      </c>
      <c r="K122" s="70">
        <f t="shared" si="37"/>
        <v>0</v>
      </c>
      <c r="L122" s="70">
        <f t="shared" si="37"/>
        <v>62778.040530000006</v>
      </c>
      <c r="M122" s="70">
        <f t="shared" si="37"/>
        <v>6691.37</v>
      </c>
      <c r="N122" s="70">
        <f t="shared" si="37"/>
        <v>56086.670530000003</v>
      </c>
      <c r="O122" s="70">
        <f t="shared" si="37"/>
        <v>0</v>
      </c>
      <c r="P122" s="70">
        <f t="shared" si="37"/>
        <v>0</v>
      </c>
      <c r="Q122" s="70">
        <f t="shared" si="37"/>
        <v>56086.670530000003</v>
      </c>
    </row>
    <row r="123" spans="1:17">
      <c r="A123" s="150" t="s">
        <v>355</v>
      </c>
      <c r="B123" s="48"/>
      <c r="C123" s="48"/>
      <c r="D123" s="43"/>
      <c r="E123" s="173"/>
      <c r="F123" s="64">
        <v>29816209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>
      <c r="A124" s="151" t="s">
        <v>30</v>
      </c>
      <c r="B124" s="51"/>
      <c r="C124" s="51"/>
      <c r="D124" s="52"/>
      <c r="E124" s="203"/>
      <c r="F124" s="152">
        <f>F122-F123</f>
        <v>113580.0749406144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1:17">
      <c r="A125" s="54" t="s">
        <v>197</v>
      </c>
      <c r="B125" s="48"/>
      <c r="C125" s="48"/>
      <c r="D125" s="43"/>
      <c r="E125" s="173"/>
      <c r="F125" s="4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1:17">
      <c r="A126" s="47"/>
      <c r="B126" s="48"/>
      <c r="C126" s="48"/>
      <c r="D126" s="43"/>
      <c r="E126" s="65">
        <v>2125198</v>
      </c>
      <c r="F126" s="4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</row>
    <row r="127" spans="1:17">
      <c r="A127" s="49" t="s">
        <v>15</v>
      </c>
      <c r="B127" s="48">
        <v>0.48459999999999998</v>
      </c>
      <c r="C127" s="48">
        <v>0</v>
      </c>
      <c r="D127" s="43">
        <v>242</v>
      </c>
      <c r="E127" s="173">
        <f>G127/B127*100</f>
        <v>0</v>
      </c>
      <c r="F127" s="43">
        <v>9726812</v>
      </c>
      <c r="G127" s="53">
        <v>0</v>
      </c>
      <c r="H127" s="53">
        <v>47366.36</v>
      </c>
      <c r="I127" s="53">
        <v>0</v>
      </c>
      <c r="J127" s="53">
        <v>230.2</v>
      </c>
      <c r="K127" s="53">
        <v>528.99</v>
      </c>
      <c r="L127" s="53">
        <f>G127+H127+I127-J127+K127</f>
        <v>47665.15</v>
      </c>
      <c r="M127" s="53">
        <v>5682.58</v>
      </c>
      <c r="N127" s="53">
        <f>L127-M127</f>
        <v>41982.57</v>
      </c>
      <c r="O127" s="53">
        <v>0</v>
      </c>
      <c r="P127" s="53">
        <v>0</v>
      </c>
      <c r="Q127" s="53">
        <f>N127-O127-P127</f>
        <v>41982.57</v>
      </c>
    </row>
    <row r="128" spans="1:17">
      <c r="A128" s="47" t="s">
        <v>16</v>
      </c>
      <c r="B128" s="48">
        <f>B127</f>
        <v>0.48459999999999998</v>
      </c>
      <c r="C128" s="48">
        <f>C127</f>
        <v>0</v>
      </c>
      <c r="D128" s="43"/>
      <c r="E128" s="173"/>
      <c r="F128" s="65">
        <f>IF(E126&gt;E127,E126-E127,0)</f>
        <v>2125198</v>
      </c>
      <c r="G128" s="53">
        <f>F128*(B128-C128)/100</f>
        <v>10298.709508</v>
      </c>
      <c r="H128" s="53"/>
      <c r="I128" s="53">
        <f>F128*C128/100</f>
        <v>0</v>
      </c>
      <c r="J128" s="53"/>
      <c r="K128" s="53"/>
      <c r="L128" s="53">
        <f>G128+H128+I128-J128+K128</f>
        <v>10298.709508</v>
      </c>
      <c r="M128" s="53"/>
      <c r="N128" s="53">
        <f>L128-M128</f>
        <v>10298.709508</v>
      </c>
      <c r="O128" s="53"/>
      <c r="P128" s="53"/>
      <c r="Q128" s="53">
        <f>N128-O128-P128</f>
        <v>10298.709508</v>
      </c>
    </row>
    <row r="129" spans="1:17">
      <c r="A129" s="47" t="s">
        <v>17</v>
      </c>
      <c r="B129" s="48">
        <f>B127</f>
        <v>0.48459999999999998</v>
      </c>
      <c r="C129" s="48">
        <f>C127</f>
        <v>0</v>
      </c>
      <c r="D129" s="43"/>
      <c r="E129" s="173"/>
      <c r="F129" s="66">
        <v>107073</v>
      </c>
      <c r="G129" s="53"/>
      <c r="H129" s="53">
        <f>F129*(B129-C129)/100</f>
        <v>518.87575800000002</v>
      </c>
      <c r="I129" s="53">
        <f>F129*C129/100</f>
        <v>0</v>
      </c>
      <c r="J129" s="53">
        <v>0</v>
      </c>
      <c r="K129" s="53">
        <v>0</v>
      </c>
      <c r="L129" s="53">
        <f>G129+H129+I129-J129+K129</f>
        <v>518.87575800000002</v>
      </c>
      <c r="M129" s="53">
        <v>0</v>
      </c>
      <c r="N129" s="53">
        <f>L129-M129</f>
        <v>518.87575800000002</v>
      </c>
      <c r="O129" s="53">
        <v>0</v>
      </c>
      <c r="P129" s="53">
        <v>0</v>
      </c>
      <c r="Q129" s="53">
        <f>N129-O129-P129</f>
        <v>518.87575800000002</v>
      </c>
    </row>
    <row r="130" spans="1:17">
      <c r="A130" s="47" t="s">
        <v>18</v>
      </c>
      <c r="B130" s="48"/>
      <c r="C130" s="48"/>
      <c r="D130" s="43"/>
      <c r="E130" s="173"/>
      <c r="F130" s="4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</row>
    <row r="131" spans="1:17">
      <c r="A131" s="67" t="s">
        <v>19</v>
      </c>
      <c r="B131" s="48">
        <f>B127</f>
        <v>0.48459999999999998</v>
      </c>
      <c r="C131" s="48">
        <f>C127</f>
        <v>0</v>
      </c>
      <c r="D131" s="43"/>
      <c r="E131" s="173"/>
      <c r="F131" s="43">
        <v>816398.08</v>
      </c>
      <c r="G131" s="53">
        <v>150.03</v>
      </c>
      <c r="H131" s="53">
        <v>3806.98</v>
      </c>
      <c r="I131" s="53">
        <v>0</v>
      </c>
      <c r="J131" s="53">
        <v>153.54</v>
      </c>
      <c r="K131" s="53">
        <v>0</v>
      </c>
      <c r="L131" s="53">
        <f>G131+H131+I131-J131+K131</f>
        <v>3803.4700000000003</v>
      </c>
      <c r="M131" s="53">
        <v>255.42</v>
      </c>
      <c r="N131" s="53">
        <f>L131-M131</f>
        <v>3548.05</v>
      </c>
      <c r="O131" s="53">
        <v>0</v>
      </c>
      <c r="P131" s="53">
        <v>0</v>
      </c>
      <c r="Q131" s="53">
        <f>N131-O131-P131</f>
        <v>3548.05</v>
      </c>
    </row>
    <row r="132" spans="1:17">
      <c r="A132" s="67" t="s">
        <v>20</v>
      </c>
      <c r="B132" s="48">
        <f>B127</f>
        <v>0.48459999999999998</v>
      </c>
      <c r="C132" s="48">
        <f>C127</f>
        <v>0</v>
      </c>
      <c r="D132" s="43"/>
      <c r="E132" s="173"/>
      <c r="F132" s="43">
        <v>179970.05</v>
      </c>
      <c r="G132" s="53">
        <v>872.14</v>
      </c>
      <c r="H132" s="53"/>
      <c r="I132" s="53">
        <v>0</v>
      </c>
      <c r="J132" s="53">
        <v>0</v>
      </c>
      <c r="K132" s="53">
        <v>0</v>
      </c>
      <c r="L132" s="53">
        <f>G132+H132+I132-J132+K132</f>
        <v>872.14</v>
      </c>
      <c r="M132" s="53">
        <v>0</v>
      </c>
      <c r="N132" s="53">
        <f>L132-M132</f>
        <v>872.14</v>
      </c>
      <c r="O132" s="53">
        <v>0</v>
      </c>
      <c r="P132" s="53">
        <v>0</v>
      </c>
      <c r="Q132" s="53">
        <f>N132-O132-P132</f>
        <v>872.14</v>
      </c>
    </row>
    <row r="133" spans="1:17">
      <c r="A133" s="47"/>
      <c r="B133" s="48"/>
      <c r="C133" s="48"/>
      <c r="D133" s="43"/>
      <c r="E133" s="173"/>
      <c r="F133" s="4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</row>
    <row r="134" spans="1:17" s="50" customFormat="1" ht="13.5" thickBot="1">
      <c r="A134" s="60" t="str">
        <f>"TOTAL "&amp;A125</f>
        <v>TOTAL GABBS TOWN</v>
      </c>
      <c r="B134" s="68">
        <f>B127</f>
        <v>0.48459999999999998</v>
      </c>
      <c r="C134" s="68">
        <f>C127</f>
        <v>0</v>
      </c>
      <c r="D134" s="69">
        <f t="shared" ref="D134:Q134" si="38">SUM(D127:D129,D131:D132)</f>
        <v>242</v>
      </c>
      <c r="E134" s="204"/>
      <c r="F134" s="69">
        <f>SUM(F127:F129,F131:F132)</f>
        <v>12955451.130000001</v>
      </c>
      <c r="G134" s="70">
        <f>SUM(G127:G129,G131:G132)</f>
        <v>11320.879508</v>
      </c>
      <c r="H134" s="70">
        <f>SUM(H127:H129,H131:H132)</f>
        <v>51692.215758000006</v>
      </c>
      <c r="I134" s="70">
        <f t="shared" si="38"/>
        <v>0</v>
      </c>
      <c r="J134" s="70">
        <f t="shared" si="38"/>
        <v>383.74</v>
      </c>
      <c r="K134" s="70">
        <f t="shared" si="38"/>
        <v>528.99</v>
      </c>
      <c r="L134" s="70">
        <f t="shared" si="38"/>
        <v>63158.345266000004</v>
      </c>
      <c r="M134" s="70">
        <f t="shared" si="38"/>
        <v>5938</v>
      </c>
      <c r="N134" s="70">
        <f t="shared" si="38"/>
        <v>57220.345266000004</v>
      </c>
      <c r="O134" s="70">
        <f t="shared" si="38"/>
        <v>0</v>
      </c>
      <c r="P134" s="70">
        <f t="shared" si="38"/>
        <v>0</v>
      </c>
      <c r="Q134" s="70">
        <f t="shared" si="38"/>
        <v>57220.345266000004</v>
      </c>
    </row>
    <row r="135" spans="1:17">
      <c r="A135" s="150" t="s">
        <v>355</v>
      </c>
      <c r="B135" s="48"/>
      <c r="C135" s="48"/>
      <c r="D135" s="43"/>
      <c r="E135" s="173"/>
      <c r="F135" s="64">
        <v>12923922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1:17">
      <c r="A136" s="151" t="s">
        <v>30</v>
      </c>
      <c r="B136" s="51"/>
      <c r="C136" s="51"/>
      <c r="D136" s="52"/>
      <c r="E136" s="203"/>
      <c r="F136" s="152">
        <f>F134-F135</f>
        <v>31529.13000000082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</row>
    <row r="137" spans="1:17">
      <c r="A137" s="54" t="s">
        <v>198</v>
      </c>
      <c r="B137" s="48"/>
      <c r="C137" s="48"/>
      <c r="D137" s="43"/>
      <c r="E137" s="173"/>
      <c r="F137" s="43"/>
      <c r="G137" s="64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1:17">
      <c r="A138" s="47"/>
      <c r="B138" s="48"/>
      <c r="C138" s="48"/>
      <c r="D138" s="43"/>
      <c r="E138" s="65">
        <v>140837</v>
      </c>
      <c r="F138" s="4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</row>
    <row r="139" spans="1:17">
      <c r="A139" s="49" t="s">
        <v>15</v>
      </c>
      <c r="B139" s="48">
        <v>0.31640000000000001</v>
      </c>
      <c r="C139" s="48">
        <v>0</v>
      </c>
      <c r="D139" s="13">
        <v>220</v>
      </c>
      <c r="E139" s="223">
        <f>G139/B139*100</f>
        <v>0</v>
      </c>
      <c r="F139" s="498">
        <v>2016281</v>
      </c>
      <c r="G139" s="18">
        <v>0</v>
      </c>
      <c r="H139" s="499">
        <v>6379.59</v>
      </c>
      <c r="I139" s="53">
        <v>0</v>
      </c>
      <c r="J139" s="53">
        <v>0</v>
      </c>
      <c r="K139" s="53">
        <v>0</v>
      </c>
      <c r="L139" s="53">
        <f>G139+H139+I139-J139+K139</f>
        <v>6379.59</v>
      </c>
      <c r="M139" s="53">
        <v>684.02</v>
      </c>
      <c r="N139" s="53">
        <f>L139-M139</f>
        <v>5695.57</v>
      </c>
      <c r="O139" s="53">
        <v>0</v>
      </c>
      <c r="P139" s="53">
        <v>0</v>
      </c>
      <c r="Q139" s="53">
        <f>N139-O139-P139</f>
        <v>5695.57</v>
      </c>
    </row>
    <row r="140" spans="1:17">
      <c r="A140" s="47" t="s">
        <v>16</v>
      </c>
      <c r="B140" s="48">
        <f>B139</f>
        <v>0.31640000000000001</v>
      </c>
      <c r="C140" s="48">
        <f>C139</f>
        <v>0</v>
      </c>
      <c r="D140" s="43"/>
      <c r="E140" s="173"/>
      <c r="F140" s="65">
        <f>IF(E138&gt;E139,E138-E139,0)</f>
        <v>140837</v>
      </c>
      <c r="G140" s="53">
        <f>F140*(B140-C140)/100</f>
        <v>445.60826800000001</v>
      </c>
      <c r="H140" s="53"/>
      <c r="I140" s="53">
        <v>0</v>
      </c>
      <c r="J140" s="53"/>
      <c r="K140" s="53"/>
      <c r="L140" s="53">
        <f>G140+H140+I140-J140+K140</f>
        <v>445.60826800000001</v>
      </c>
      <c r="M140" s="53"/>
      <c r="N140" s="53">
        <f>L140-M140</f>
        <v>445.60826800000001</v>
      </c>
      <c r="O140" s="53"/>
      <c r="P140" s="53"/>
      <c r="Q140" s="53">
        <f>N140-O140-P140</f>
        <v>445.60826800000001</v>
      </c>
    </row>
    <row r="141" spans="1:17">
      <c r="A141" s="47" t="s">
        <v>17</v>
      </c>
      <c r="B141" s="48">
        <f>B139</f>
        <v>0.31640000000000001</v>
      </c>
      <c r="C141" s="48">
        <f>C139</f>
        <v>0</v>
      </c>
      <c r="D141" s="43"/>
      <c r="E141" s="173"/>
      <c r="F141" s="66">
        <v>513271</v>
      </c>
      <c r="G141" s="53"/>
      <c r="H141" s="53">
        <f>F141*(B141-C141)/100</f>
        <v>1623.989444</v>
      </c>
      <c r="I141" s="53">
        <f>F141*C141/100</f>
        <v>0</v>
      </c>
      <c r="J141" s="53">
        <v>0</v>
      </c>
      <c r="K141" s="53">
        <v>0</v>
      </c>
      <c r="L141" s="53">
        <f>G141+H141+I141-J141+K141</f>
        <v>1623.989444</v>
      </c>
      <c r="M141" s="53">
        <v>0</v>
      </c>
      <c r="N141" s="53">
        <f>L141-M141</f>
        <v>1623.989444</v>
      </c>
      <c r="O141" s="53">
        <v>0</v>
      </c>
      <c r="P141" s="53">
        <v>0</v>
      </c>
      <c r="Q141" s="53">
        <f>N141-O141-P141</f>
        <v>1623.989444</v>
      </c>
    </row>
    <row r="142" spans="1:17">
      <c r="A142" s="47" t="s">
        <v>18</v>
      </c>
      <c r="B142" s="48"/>
      <c r="C142" s="48"/>
      <c r="D142" s="43"/>
      <c r="E142" s="173"/>
      <c r="F142" s="4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</row>
    <row r="143" spans="1:17">
      <c r="A143" s="67" t="s">
        <v>19</v>
      </c>
      <c r="B143" s="48">
        <f>B139</f>
        <v>0.31640000000000001</v>
      </c>
      <c r="C143" s="48">
        <f>C139</f>
        <v>0</v>
      </c>
      <c r="D143" s="43"/>
      <c r="E143" s="173"/>
      <c r="F143" s="43">
        <v>682995.88</v>
      </c>
      <c r="G143" s="53">
        <v>76.989999999999995</v>
      </c>
      <c r="H143" s="53">
        <v>2084.2800000000002</v>
      </c>
      <c r="I143" s="53">
        <v>0</v>
      </c>
      <c r="J143" s="53">
        <v>88.22</v>
      </c>
      <c r="K143" s="53">
        <v>0</v>
      </c>
      <c r="L143" s="53">
        <f>G143+H143+I143-J143+K143</f>
        <v>2073.0500000000002</v>
      </c>
      <c r="M143" s="53">
        <v>153.36000000000001</v>
      </c>
      <c r="N143" s="53">
        <f>L143-M143</f>
        <v>1919.69</v>
      </c>
      <c r="O143" s="53">
        <v>0</v>
      </c>
      <c r="P143" s="53">
        <v>0</v>
      </c>
      <c r="Q143" s="53">
        <f>N143-O143-P143</f>
        <v>1919.69</v>
      </c>
    </row>
    <row r="144" spans="1:17">
      <c r="A144" s="67" t="s">
        <v>20</v>
      </c>
      <c r="B144" s="48">
        <f>B139</f>
        <v>0.31640000000000001</v>
      </c>
      <c r="C144" s="48">
        <f>C139</f>
        <v>0</v>
      </c>
      <c r="D144" s="43"/>
      <c r="E144" s="173"/>
      <c r="F144" s="43">
        <v>163541.31</v>
      </c>
      <c r="G144" s="53">
        <v>517.44000000000005</v>
      </c>
      <c r="H144" s="53"/>
      <c r="I144" s="53">
        <v>0</v>
      </c>
      <c r="J144" s="53">
        <v>0</v>
      </c>
      <c r="K144" s="53">
        <v>0</v>
      </c>
      <c r="L144" s="53">
        <f>G144+H144+I144-J144+K144</f>
        <v>517.44000000000005</v>
      </c>
      <c r="M144" s="53">
        <v>0</v>
      </c>
      <c r="N144" s="53">
        <f>L144-M144</f>
        <v>517.44000000000005</v>
      </c>
      <c r="O144" s="53">
        <v>0</v>
      </c>
      <c r="P144" s="53">
        <v>0</v>
      </c>
      <c r="Q144" s="53">
        <f>N144-O144-P144</f>
        <v>517.44000000000005</v>
      </c>
    </row>
    <row r="145" spans="1:17">
      <c r="A145" s="47"/>
      <c r="B145" s="48"/>
      <c r="C145" s="48"/>
      <c r="D145" s="43"/>
      <c r="E145" s="173"/>
      <c r="F145" s="4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1:17" s="50" customFormat="1" ht="13.5" thickBot="1">
      <c r="A146" s="60" t="str">
        <f>"TOTAL "&amp;A137</f>
        <v>TOTAL MANHATTAN TOWN</v>
      </c>
      <c r="B146" s="68">
        <f>B139</f>
        <v>0.31640000000000001</v>
      </c>
      <c r="C146" s="68">
        <f>C139</f>
        <v>0</v>
      </c>
      <c r="D146" s="69">
        <f t="shared" ref="D146:Q146" si="39">SUM(D139:D141,D143:D144)</f>
        <v>220</v>
      </c>
      <c r="E146" s="204"/>
      <c r="F146" s="69">
        <f t="shared" si="39"/>
        <v>3516926.19</v>
      </c>
      <c r="G146" s="70">
        <f t="shared" si="39"/>
        <v>1040.038268</v>
      </c>
      <c r="H146" s="70">
        <f t="shared" si="39"/>
        <v>10087.859444</v>
      </c>
      <c r="I146" s="70">
        <f t="shared" si="39"/>
        <v>0</v>
      </c>
      <c r="J146" s="70">
        <f t="shared" si="39"/>
        <v>88.22</v>
      </c>
      <c r="K146" s="70">
        <f t="shared" si="39"/>
        <v>0</v>
      </c>
      <c r="L146" s="70">
        <f t="shared" si="39"/>
        <v>11039.677712000002</v>
      </c>
      <c r="M146" s="70">
        <f t="shared" si="39"/>
        <v>837.38</v>
      </c>
      <c r="N146" s="70">
        <f t="shared" si="39"/>
        <v>10202.297712</v>
      </c>
      <c r="O146" s="70">
        <f t="shared" si="39"/>
        <v>0</v>
      </c>
      <c r="P146" s="70">
        <f t="shared" si="39"/>
        <v>0</v>
      </c>
      <c r="Q146" s="70">
        <f t="shared" si="39"/>
        <v>10202.297712</v>
      </c>
    </row>
    <row r="147" spans="1:17">
      <c r="A147" s="150" t="s">
        <v>355</v>
      </c>
      <c r="B147" s="48"/>
      <c r="C147" s="48"/>
      <c r="D147" s="43"/>
      <c r="E147" s="173"/>
      <c r="F147" s="64">
        <v>3489131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1:17">
      <c r="A148" s="151" t="s">
        <v>30</v>
      </c>
      <c r="B148" s="51"/>
      <c r="C148" s="51"/>
      <c r="D148" s="52"/>
      <c r="E148" s="203"/>
      <c r="F148" s="152">
        <f>F146-F147</f>
        <v>27795.189999999944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1:17">
      <c r="A149" s="54" t="s">
        <v>199</v>
      </c>
      <c r="G149" s="64"/>
      <c r="H149" s="53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1:17">
      <c r="E150" s="65">
        <v>58348228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1:17">
      <c r="A151" s="49" t="s">
        <v>15</v>
      </c>
      <c r="B151" s="48">
        <v>0.44169999999999998</v>
      </c>
      <c r="C151" s="48">
        <v>0</v>
      </c>
      <c r="D151" s="43">
        <v>51364</v>
      </c>
      <c r="E151" s="173">
        <f>G151/B151*100</f>
        <v>28818191.0799185</v>
      </c>
      <c r="F151" s="43">
        <v>1652144965</v>
      </c>
      <c r="G151" s="53">
        <v>127289.95</v>
      </c>
      <c r="H151" s="53">
        <v>7280832.1900000004</v>
      </c>
      <c r="I151" s="53">
        <v>0</v>
      </c>
      <c r="J151" s="53">
        <v>109326.53</v>
      </c>
      <c r="K151" s="53">
        <v>159</v>
      </c>
      <c r="L151" s="53">
        <f>G151+H151+I151-J151+K151</f>
        <v>7298954.6100000003</v>
      </c>
      <c r="M151" s="53">
        <v>1495304.39</v>
      </c>
      <c r="N151" s="53">
        <f>L151-M151</f>
        <v>5803650.2200000007</v>
      </c>
      <c r="O151" s="53">
        <v>0</v>
      </c>
      <c r="P151" s="53">
        <v>0</v>
      </c>
      <c r="Q151" s="53">
        <f>N151-O151-P151</f>
        <v>5803650.2200000007</v>
      </c>
    </row>
    <row r="152" spans="1:17">
      <c r="A152" s="47" t="s">
        <v>16</v>
      </c>
      <c r="B152" s="48">
        <f>B151</f>
        <v>0.44169999999999998</v>
      </c>
      <c r="C152" s="48">
        <f>C151</f>
        <v>0</v>
      </c>
      <c r="D152" s="43"/>
      <c r="E152" s="173"/>
      <c r="F152" s="65">
        <f>IF(E150&gt;E151,E150-E151,0)</f>
        <v>29530036.9200815</v>
      </c>
      <c r="G152" s="53">
        <f>F152*(B152-C152)/100</f>
        <v>130434.17307599998</v>
      </c>
      <c r="H152" s="53"/>
      <c r="I152" s="53">
        <f>F152*C152/100</f>
        <v>0</v>
      </c>
      <c r="J152" s="53"/>
      <c r="K152" s="53"/>
      <c r="L152" s="53">
        <f>G152+H152+I152-J152+K152</f>
        <v>130434.17307599998</v>
      </c>
      <c r="M152" s="53"/>
      <c r="N152" s="53">
        <f>L152-M152</f>
        <v>130434.17307599998</v>
      </c>
      <c r="O152" s="53"/>
      <c r="P152" s="53"/>
      <c r="Q152" s="53">
        <f>N152-O152-P152</f>
        <v>130434.17307599998</v>
      </c>
    </row>
    <row r="153" spans="1:17">
      <c r="A153" s="47" t="s">
        <v>17</v>
      </c>
      <c r="B153" s="48">
        <f>B151</f>
        <v>0.44169999999999998</v>
      </c>
      <c r="C153" s="48">
        <f>C151</f>
        <v>0</v>
      </c>
      <c r="D153" s="43"/>
      <c r="E153" s="173"/>
      <c r="F153" s="66">
        <v>50330668</v>
      </c>
      <c r="G153" s="53"/>
      <c r="H153" s="53">
        <f>F153*(B153-C153)/100</f>
        <v>222310.56055599998</v>
      </c>
      <c r="I153" s="53">
        <f>F153*C153/100</f>
        <v>0</v>
      </c>
      <c r="J153" s="53">
        <v>0</v>
      </c>
      <c r="K153" s="53">
        <v>0</v>
      </c>
      <c r="L153" s="53">
        <f>G153+H153+I153-J153+K153</f>
        <v>222310.56055599998</v>
      </c>
      <c r="M153" s="53">
        <v>0</v>
      </c>
      <c r="N153" s="53">
        <f>L153-M153</f>
        <v>222310.56055599998</v>
      </c>
      <c r="O153" s="53">
        <v>0</v>
      </c>
      <c r="P153" s="320">
        <v>19959.13</v>
      </c>
      <c r="Q153" s="53">
        <f>N153-O153-P153</f>
        <v>202351.43055599998</v>
      </c>
    </row>
    <row r="154" spans="1:17">
      <c r="A154" s="47" t="s">
        <v>18</v>
      </c>
      <c r="B154" s="48"/>
      <c r="C154" s="48"/>
      <c r="D154" s="43"/>
      <c r="E154" s="173"/>
      <c r="F154" s="4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1:17">
      <c r="A155" s="67" t="s">
        <v>19</v>
      </c>
      <c r="B155" s="48">
        <f>B151</f>
        <v>0.44169999999999998</v>
      </c>
      <c r="C155" s="48">
        <f>C151</f>
        <v>0</v>
      </c>
      <c r="D155" s="43"/>
      <c r="E155" s="173"/>
      <c r="F155" s="43">
        <v>58562828.890000001</v>
      </c>
      <c r="G155" s="53">
        <v>0</v>
      </c>
      <c r="H155" s="53">
        <v>258687.64</v>
      </c>
      <c r="I155" s="53">
        <v>0</v>
      </c>
      <c r="J155" s="53">
        <v>3537.26</v>
      </c>
      <c r="K155" s="53">
        <v>0</v>
      </c>
      <c r="L155" s="53">
        <f>G155+H155+I155-J155+K155</f>
        <v>255150.38</v>
      </c>
      <c r="M155" s="53">
        <v>162887.03</v>
      </c>
      <c r="N155" s="53">
        <f>L155-M155</f>
        <v>92263.35</v>
      </c>
      <c r="O155" s="53">
        <v>0</v>
      </c>
      <c r="P155" s="53">
        <v>0</v>
      </c>
      <c r="Q155" s="53">
        <f>N155-O155-P155</f>
        <v>92263.35</v>
      </c>
    </row>
    <row r="156" spans="1:17">
      <c r="A156" s="67" t="s">
        <v>20</v>
      </c>
      <c r="B156" s="48">
        <f>B151</f>
        <v>0.44169999999999998</v>
      </c>
      <c r="C156" s="48">
        <f>C151</f>
        <v>0</v>
      </c>
      <c r="D156" s="43"/>
      <c r="E156" s="173"/>
      <c r="F156" s="43">
        <v>18303641.719999999</v>
      </c>
      <c r="G156" s="53">
        <v>80847.19</v>
      </c>
      <c r="H156" s="53"/>
      <c r="I156" s="53">
        <v>0</v>
      </c>
      <c r="J156" s="53">
        <v>0</v>
      </c>
      <c r="K156" s="53">
        <v>0</v>
      </c>
      <c r="L156" s="53">
        <f>G156+H156+I156-J156+K156</f>
        <v>80847.19</v>
      </c>
      <c r="M156" s="53">
        <v>0</v>
      </c>
      <c r="N156" s="53">
        <f>L156-M156</f>
        <v>80847.19</v>
      </c>
      <c r="O156" s="53">
        <v>0</v>
      </c>
      <c r="P156" s="53">
        <v>0</v>
      </c>
      <c r="Q156" s="53">
        <f>N156-O156-P156</f>
        <v>80847.19</v>
      </c>
    </row>
    <row r="157" spans="1:17">
      <c r="A157" s="47"/>
      <c r="B157" s="48"/>
      <c r="C157" s="48"/>
      <c r="D157" s="43"/>
      <c r="E157" s="173"/>
      <c r="F157" s="4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1:17" s="50" customFormat="1" ht="13.5" thickBot="1">
      <c r="A158" s="60" t="str">
        <f>"TOTAL "&amp;A149</f>
        <v>TOTAL PAHRUMP TOWN</v>
      </c>
      <c r="B158" s="68">
        <f>B151</f>
        <v>0.44169999999999998</v>
      </c>
      <c r="C158" s="68">
        <f>C151</f>
        <v>0</v>
      </c>
      <c r="D158" s="69">
        <f t="shared" ref="D158:Q158" si="40">SUM(D151:D153,D155:D156)</f>
        <v>51364</v>
      </c>
      <c r="E158" s="204"/>
      <c r="F158" s="69">
        <f t="shared" si="40"/>
        <v>1808872140.5300817</v>
      </c>
      <c r="G158" s="70">
        <f t="shared" si="40"/>
        <v>338571.31307599996</v>
      </c>
      <c r="H158" s="70">
        <f t="shared" si="40"/>
        <v>7761830.3905560002</v>
      </c>
      <c r="I158" s="70">
        <f t="shared" si="40"/>
        <v>0</v>
      </c>
      <c r="J158" s="70">
        <f t="shared" si="40"/>
        <v>112863.79</v>
      </c>
      <c r="K158" s="70">
        <f t="shared" si="40"/>
        <v>159</v>
      </c>
      <c r="L158" s="70">
        <f t="shared" si="40"/>
        <v>7987696.9136320008</v>
      </c>
      <c r="M158" s="70">
        <f t="shared" si="40"/>
        <v>1658191.42</v>
      </c>
      <c r="N158" s="70">
        <f t="shared" si="40"/>
        <v>6329505.4936320009</v>
      </c>
      <c r="O158" s="70">
        <f t="shared" si="40"/>
        <v>0</v>
      </c>
      <c r="P158" s="70">
        <f t="shared" si="40"/>
        <v>19959.13</v>
      </c>
      <c r="Q158" s="70">
        <f t="shared" si="40"/>
        <v>6309546.363632001</v>
      </c>
    </row>
    <row r="159" spans="1:17">
      <c r="A159" s="150" t="s">
        <v>355</v>
      </c>
      <c r="B159" s="48"/>
      <c r="C159" s="48"/>
      <c r="D159" s="43"/>
      <c r="E159" s="173"/>
      <c r="F159" s="64">
        <v>1807966903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1:17">
      <c r="A160" s="151" t="s">
        <v>30</v>
      </c>
      <c r="B160" s="51"/>
      <c r="C160" s="51"/>
      <c r="D160" s="52"/>
      <c r="E160" s="203"/>
      <c r="F160" s="152">
        <f>F158-F159</f>
        <v>905237.53008174896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1:17">
      <c r="A161" s="54" t="s">
        <v>200</v>
      </c>
      <c r="B161" s="84"/>
      <c r="C161" s="84"/>
      <c r="D161" s="84"/>
      <c r="E161" s="210"/>
      <c r="F161" s="84"/>
      <c r="G161" s="64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1:17">
      <c r="A162" s="83"/>
      <c r="B162" s="84"/>
      <c r="C162" s="84"/>
      <c r="D162" s="84"/>
      <c r="E162" s="65">
        <v>10983981</v>
      </c>
      <c r="F162" s="84"/>
      <c r="G162" s="59"/>
      <c r="H162" s="53"/>
      <c r="I162" s="53"/>
      <c r="J162" s="53"/>
      <c r="K162" s="53"/>
      <c r="L162" s="53"/>
      <c r="M162" s="53"/>
      <c r="N162" s="53"/>
      <c r="O162" s="53"/>
      <c r="P162" s="53"/>
      <c r="Q162" s="53"/>
    </row>
    <row r="163" spans="1:17">
      <c r="A163" s="49" t="s">
        <v>15</v>
      </c>
      <c r="B163" s="48">
        <v>0.31640000000000001</v>
      </c>
      <c r="C163" s="48">
        <v>0</v>
      </c>
      <c r="D163" s="43">
        <v>588</v>
      </c>
      <c r="E163" s="173">
        <f>G163/B163*100</f>
        <v>0</v>
      </c>
      <c r="F163" s="43">
        <v>212133236</v>
      </c>
      <c r="G163" s="53">
        <v>0</v>
      </c>
      <c r="H163" s="53">
        <v>671242.11</v>
      </c>
      <c r="I163" s="53">
        <v>0</v>
      </c>
      <c r="J163" s="53">
        <v>52.5</v>
      </c>
      <c r="K163" s="53">
        <v>0</v>
      </c>
      <c r="L163" s="53">
        <f>G163+H163+I163-J163+K163</f>
        <v>671189.61</v>
      </c>
      <c r="M163" s="53">
        <v>178404.01</v>
      </c>
      <c r="N163" s="53">
        <f>L163-M163</f>
        <v>492785.6</v>
      </c>
      <c r="O163" s="53">
        <v>0</v>
      </c>
      <c r="P163" s="53">
        <v>0</v>
      </c>
      <c r="Q163" s="53">
        <f>N163-O163-P163</f>
        <v>492785.6</v>
      </c>
    </row>
    <row r="164" spans="1:17">
      <c r="A164" s="47" t="s">
        <v>16</v>
      </c>
      <c r="B164" s="48">
        <f>B163</f>
        <v>0.31640000000000001</v>
      </c>
      <c r="C164" s="48">
        <f>C163</f>
        <v>0</v>
      </c>
      <c r="D164" s="43"/>
      <c r="E164" s="173"/>
      <c r="F164" s="65">
        <f>IF(E162&gt;E163,E162-E163,0)</f>
        <v>10983981</v>
      </c>
      <c r="G164" s="53">
        <f>F164*(B164-C164)/100</f>
        <v>34753.315884000003</v>
      </c>
      <c r="H164" s="53"/>
      <c r="I164" s="53">
        <f>F164*C164/100</f>
        <v>0</v>
      </c>
      <c r="J164" s="53"/>
      <c r="K164" s="53"/>
      <c r="L164" s="53">
        <f>G164+H164+I164-J164+K164</f>
        <v>34753.315884000003</v>
      </c>
      <c r="M164" s="53"/>
      <c r="N164" s="53">
        <f>L164-M164</f>
        <v>34753.315884000003</v>
      </c>
      <c r="O164" s="53"/>
      <c r="P164" s="53"/>
      <c r="Q164" s="53">
        <f>N164-O164-P164</f>
        <v>34753.315884000003</v>
      </c>
    </row>
    <row r="165" spans="1:17">
      <c r="A165" s="47" t="s">
        <v>17</v>
      </c>
      <c r="B165" s="48">
        <f>B163</f>
        <v>0.31640000000000001</v>
      </c>
      <c r="C165" s="48">
        <f>C163</f>
        <v>0</v>
      </c>
      <c r="D165" s="43"/>
      <c r="E165" s="173"/>
      <c r="F165" s="66">
        <v>8893408</v>
      </c>
      <c r="G165" s="53"/>
      <c r="H165" s="53">
        <f>F165*(B165-C165)/100</f>
        <v>28138.742912000002</v>
      </c>
      <c r="I165" s="53">
        <f>F165*C165/100</f>
        <v>0</v>
      </c>
      <c r="J165" s="53">
        <v>0</v>
      </c>
      <c r="K165" s="53">
        <v>0</v>
      </c>
      <c r="L165" s="53">
        <f>G165+H165+I165-J165+K165</f>
        <v>28138.742912000002</v>
      </c>
      <c r="M165" s="53">
        <v>0</v>
      </c>
      <c r="N165" s="53">
        <f>L165-M165</f>
        <v>28138.742912000002</v>
      </c>
      <c r="O165" s="53">
        <v>0</v>
      </c>
      <c r="P165" s="53">
        <v>0</v>
      </c>
      <c r="Q165" s="53">
        <f>N165-O165-P165</f>
        <v>28138.742912000002</v>
      </c>
    </row>
    <row r="166" spans="1:17">
      <c r="A166" s="47" t="s">
        <v>18</v>
      </c>
      <c r="B166" s="48"/>
      <c r="C166" s="48"/>
      <c r="D166" s="43"/>
      <c r="E166" s="173"/>
      <c r="F166" s="4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</row>
    <row r="167" spans="1:17">
      <c r="A167" s="67" t="s">
        <v>19</v>
      </c>
      <c r="B167" s="48">
        <f>B163</f>
        <v>0.31640000000000001</v>
      </c>
      <c r="C167" s="48">
        <f>C163</f>
        <v>0</v>
      </c>
      <c r="D167" s="43"/>
      <c r="E167" s="173"/>
      <c r="F167" s="43">
        <v>1255692.08</v>
      </c>
      <c r="G167" s="53">
        <v>145.75</v>
      </c>
      <c r="H167" s="53">
        <v>3827.79</v>
      </c>
      <c r="I167" s="53">
        <v>0</v>
      </c>
      <c r="J167" s="53">
        <v>166.82</v>
      </c>
      <c r="K167" s="53">
        <v>0</v>
      </c>
      <c r="L167" s="53">
        <f>G167+H167+I167-J167+K167</f>
        <v>3806.72</v>
      </c>
      <c r="M167" s="53">
        <v>290.3</v>
      </c>
      <c r="N167" s="53">
        <f>L167-M167</f>
        <v>3516.4199999999996</v>
      </c>
      <c r="O167" s="53">
        <v>0</v>
      </c>
      <c r="P167" s="53">
        <v>0</v>
      </c>
      <c r="Q167" s="53">
        <f>N167-O167-P167</f>
        <v>3516.4199999999996</v>
      </c>
    </row>
    <row r="168" spans="1:17">
      <c r="A168" s="67" t="s">
        <v>20</v>
      </c>
      <c r="B168" s="48">
        <f>B163</f>
        <v>0.31640000000000001</v>
      </c>
      <c r="C168" s="48">
        <f>C163</f>
        <v>0</v>
      </c>
      <c r="D168" s="43"/>
      <c r="E168" s="173"/>
      <c r="F168" s="43">
        <v>309579.34999999998</v>
      </c>
      <c r="G168" s="53">
        <v>979.51</v>
      </c>
      <c r="H168" s="53"/>
      <c r="I168" s="53">
        <v>0</v>
      </c>
      <c r="J168" s="53">
        <v>0</v>
      </c>
      <c r="K168" s="53">
        <v>0</v>
      </c>
      <c r="L168" s="53">
        <f>G168+H168+I168-J168+K168</f>
        <v>979.51</v>
      </c>
      <c r="M168" s="53">
        <v>0</v>
      </c>
      <c r="N168" s="53">
        <f>L168-M168</f>
        <v>979.51</v>
      </c>
      <c r="O168" s="53">
        <v>0</v>
      </c>
      <c r="P168" s="53">
        <v>0</v>
      </c>
      <c r="Q168" s="53">
        <f>N168-O168-P168</f>
        <v>979.51</v>
      </c>
    </row>
    <row r="169" spans="1:17">
      <c r="A169" s="47"/>
      <c r="B169" s="48"/>
      <c r="C169" s="48"/>
      <c r="D169" s="43"/>
      <c r="E169" s="173"/>
      <c r="F169" s="4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1:17" s="50" customFormat="1" ht="13.5" thickBot="1">
      <c r="A170" s="60" t="str">
        <f>"TOTAL "&amp;A161</f>
        <v>TOTAL ROUND MOUNTAIN TOWN</v>
      </c>
      <c r="B170" s="68">
        <f>B163</f>
        <v>0.31640000000000001</v>
      </c>
      <c r="C170" s="68">
        <f>C163</f>
        <v>0</v>
      </c>
      <c r="D170" s="69">
        <f t="shared" ref="D170:Q170" si="41">SUM(D163:D165,D167:D168)</f>
        <v>588</v>
      </c>
      <c r="E170" s="204"/>
      <c r="F170" s="69">
        <f t="shared" si="41"/>
        <v>233575896.43000001</v>
      </c>
      <c r="G170" s="70">
        <f t="shared" si="41"/>
        <v>35878.575884000005</v>
      </c>
      <c r="H170" s="70">
        <f t="shared" si="41"/>
        <v>703208.64291200007</v>
      </c>
      <c r="I170" s="70">
        <f t="shared" si="41"/>
        <v>0</v>
      </c>
      <c r="J170" s="70">
        <f t="shared" si="41"/>
        <v>219.32</v>
      </c>
      <c r="K170" s="70">
        <f t="shared" si="41"/>
        <v>0</v>
      </c>
      <c r="L170" s="70">
        <f t="shared" si="41"/>
        <v>738867.89879600005</v>
      </c>
      <c r="M170" s="70">
        <f t="shared" si="41"/>
        <v>178694.31</v>
      </c>
      <c r="N170" s="70">
        <f t="shared" si="41"/>
        <v>560173.58879600011</v>
      </c>
      <c r="O170" s="70">
        <f t="shared" si="41"/>
        <v>0</v>
      </c>
      <c r="P170" s="70">
        <f t="shared" si="41"/>
        <v>0</v>
      </c>
      <c r="Q170" s="70">
        <f t="shared" si="41"/>
        <v>560173.58879600011</v>
      </c>
    </row>
    <row r="171" spans="1:17">
      <c r="A171" s="150" t="s">
        <v>355</v>
      </c>
      <c r="B171" s="48"/>
      <c r="C171" s="48"/>
      <c r="D171" s="43"/>
      <c r="E171" s="173"/>
      <c r="F171" s="64">
        <v>233523341</v>
      </c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</row>
    <row r="172" spans="1:17">
      <c r="A172" s="151" t="s">
        <v>30</v>
      </c>
      <c r="B172" s="51"/>
      <c r="C172" s="51"/>
      <c r="D172" s="52"/>
      <c r="E172" s="203"/>
      <c r="F172" s="152">
        <f>F170-F171</f>
        <v>52555.430000007153</v>
      </c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</row>
    <row r="173" spans="1:17">
      <c r="A173" s="54" t="s">
        <v>201</v>
      </c>
      <c r="G173" s="64"/>
      <c r="H173" s="53"/>
      <c r="I173" s="53"/>
      <c r="J173" s="53"/>
      <c r="K173" s="53"/>
      <c r="L173" s="53"/>
      <c r="M173" s="53"/>
      <c r="N173" s="53"/>
      <c r="O173" s="53"/>
      <c r="P173" s="53"/>
      <c r="Q173" s="53"/>
    </row>
    <row r="174" spans="1:17">
      <c r="A174" s="50"/>
      <c r="B174" s="50"/>
      <c r="C174" s="50"/>
      <c r="D174" s="50"/>
      <c r="E174" s="65">
        <v>3095358</v>
      </c>
      <c r="F174" s="50"/>
      <c r="G174" s="59"/>
      <c r="H174" s="53"/>
      <c r="I174" s="53"/>
      <c r="J174" s="53"/>
      <c r="K174" s="53"/>
      <c r="L174" s="53"/>
      <c r="M174" s="53"/>
      <c r="N174" s="53"/>
      <c r="O174" s="53"/>
      <c r="P174" s="53"/>
      <c r="Q174" s="53"/>
    </row>
    <row r="175" spans="1:17">
      <c r="A175" s="49" t="s">
        <v>15</v>
      </c>
      <c r="B175" s="48">
        <v>0.40820000000000001</v>
      </c>
      <c r="C175" s="48">
        <v>0</v>
      </c>
      <c r="D175" s="43">
        <v>1550</v>
      </c>
      <c r="E175" s="173">
        <f>G175/B175*100</f>
        <v>1087586.9671729545</v>
      </c>
      <c r="F175" s="43">
        <v>65375146</v>
      </c>
      <c r="G175" s="53">
        <v>4439.53</v>
      </c>
      <c r="H175" s="53">
        <v>263424.87</v>
      </c>
      <c r="I175" s="53">
        <v>0</v>
      </c>
      <c r="J175" s="53">
        <v>1000.28</v>
      </c>
      <c r="K175" s="53">
        <v>4.25</v>
      </c>
      <c r="L175" s="53">
        <f>G175+H175+I175-J175+K175</f>
        <v>266868.37</v>
      </c>
      <c r="M175" s="53">
        <v>81175.08</v>
      </c>
      <c r="N175" s="53">
        <f>L175-M175</f>
        <v>185693.28999999998</v>
      </c>
      <c r="O175" s="53">
        <v>0</v>
      </c>
      <c r="P175" s="53">
        <v>19344.36</v>
      </c>
      <c r="Q175" s="53">
        <f>N175-O175-P175</f>
        <v>166348.93</v>
      </c>
    </row>
    <row r="176" spans="1:17">
      <c r="A176" s="47" t="s">
        <v>16</v>
      </c>
      <c r="B176" s="48">
        <f>B175</f>
        <v>0.40820000000000001</v>
      </c>
      <c r="C176" s="48">
        <f>C175</f>
        <v>0</v>
      </c>
      <c r="D176" s="43"/>
      <c r="E176" s="173"/>
      <c r="F176" s="65">
        <f>IF(E174&gt;E175,E174-E175,0)</f>
        <v>2007771.0328270455</v>
      </c>
      <c r="G176" s="53">
        <f>F176*(B176-C176)/100</f>
        <v>8195.721356</v>
      </c>
      <c r="H176" s="53"/>
      <c r="I176" s="53">
        <f>F176*C176/100</f>
        <v>0</v>
      </c>
      <c r="J176" s="53"/>
      <c r="K176" s="53"/>
      <c r="L176" s="53">
        <f>G176+H176+I176-J176+K176</f>
        <v>8195.721356</v>
      </c>
      <c r="M176" s="53"/>
      <c r="N176" s="53">
        <f>L176-M176</f>
        <v>8195.721356</v>
      </c>
      <c r="O176" s="53"/>
      <c r="P176" s="53"/>
      <c r="Q176" s="53">
        <f>N176-O176-P176</f>
        <v>8195.721356</v>
      </c>
    </row>
    <row r="177" spans="1:17">
      <c r="A177" s="47" t="s">
        <v>17</v>
      </c>
      <c r="B177" s="48">
        <f>B175</f>
        <v>0.40820000000000001</v>
      </c>
      <c r="C177" s="48">
        <f>C175</f>
        <v>0</v>
      </c>
      <c r="D177" s="43"/>
      <c r="E177" s="173"/>
      <c r="F177" s="66">
        <v>15829168</v>
      </c>
      <c r="G177" s="53"/>
      <c r="H177" s="53">
        <f>F177*(B177-C177)/100</f>
        <v>64614.663776000001</v>
      </c>
      <c r="I177" s="53">
        <f>F177*C177/100</f>
        <v>0</v>
      </c>
      <c r="J177" s="53">
        <v>0</v>
      </c>
      <c r="K177" s="53">
        <v>0</v>
      </c>
      <c r="L177" s="53">
        <f>G177+H177+I177-J177+K177</f>
        <v>64614.663776000001</v>
      </c>
      <c r="M177" s="53">
        <v>0</v>
      </c>
      <c r="N177" s="53">
        <f>L177-M177</f>
        <v>64614.663776000001</v>
      </c>
      <c r="O177" s="53">
        <v>0</v>
      </c>
      <c r="P177" s="320">
        <v>78743.42</v>
      </c>
      <c r="Q177" s="53">
        <f>N177-O177-P177</f>
        <v>-14128.756223999997</v>
      </c>
    </row>
    <row r="178" spans="1:17">
      <c r="A178" s="47" t="s">
        <v>18</v>
      </c>
      <c r="B178" s="48"/>
      <c r="C178" s="48"/>
      <c r="D178" s="43"/>
      <c r="E178" s="173"/>
      <c r="F178" s="4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</row>
    <row r="179" spans="1:17">
      <c r="A179" s="67" t="s">
        <v>19</v>
      </c>
      <c r="B179" s="48">
        <f>B175</f>
        <v>0.40820000000000001</v>
      </c>
      <c r="C179" s="48">
        <f>C175</f>
        <v>0</v>
      </c>
      <c r="D179" s="43"/>
      <c r="E179" s="173"/>
      <c r="F179" s="43">
        <v>4320380.9000000004</v>
      </c>
      <c r="G179" s="53">
        <v>538.54</v>
      </c>
      <c r="H179" s="53">
        <v>17099.79</v>
      </c>
      <c r="I179" s="53">
        <v>0</v>
      </c>
      <c r="J179" s="53">
        <v>621.04999999999995</v>
      </c>
      <c r="K179" s="53">
        <v>0</v>
      </c>
      <c r="L179" s="53">
        <f>G179+H179+I179-J179+K179</f>
        <v>17017.280000000002</v>
      </c>
      <c r="M179" s="53">
        <v>1072.67</v>
      </c>
      <c r="N179" s="53">
        <f>L179-M179</f>
        <v>15944.610000000002</v>
      </c>
      <c r="O179" s="18">
        <v>0</v>
      </c>
      <c r="P179" s="53">
        <v>0</v>
      </c>
      <c r="Q179" s="53">
        <f>N179-O179-P179</f>
        <v>15944.610000000002</v>
      </c>
    </row>
    <row r="180" spans="1:17">
      <c r="A180" s="67" t="s">
        <v>20</v>
      </c>
      <c r="B180" s="48">
        <f>B175</f>
        <v>0.40820000000000001</v>
      </c>
      <c r="C180" s="48">
        <f>C175</f>
        <v>0</v>
      </c>
      <c r="D180" s="43"/>
      <c r="E180" s="173"/>
      <c r="F180" s="43">
        <v>886642.34</v>
      </c>
      <c r="G180" s="53">
        <v>3619.27</v>
      </c>
      <c r="H180" s="53"/>
      <c r="I180" s="53">
        <v>0</v>
      </c>
      <c r="J180" s="53">
        <v>0</v>
      </c>
      <c r="K180" s="53">
        <v>0</v>
      </c>
      <c r="L180" s="53">
        <f>G180+H180+I180-J180+K180</f>
        <v>3619.27</v>
      </c>
      <c r="M180" s="53">
        <v>0</v>
      </c>
      <c r="N180" s="53">
        <f>L180-M180</f>
        <v>3619.27</v>
      </c>
      <c r="O180" s="53">
        <v>0</v>
      </c>
      <c r="P180" s="53">
        <v>0</v>
      </c>
      <c r="Q180" s="53">
        <f>N180-O180-P180</f>
        <v>3619.27</v>
      </c>
    </row>
    <row r="181" spans="1:17">
      <c r="A181" s="47"/>
      <c r="B181" s="48"/>
      <c r="C181" s="48"/>
      <c r="D181" s="43"/>
      <c r="E181" s="173"/>
      <c r="F181" s="4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</row>
    <row r="182" spans="1:17" s="50" customFormat="1" ht="13.5" thickBot="1">
      <c r="A182" s="60" t="str">
        <f>"TOTAL "&amp;A173</f>
        <v>TOTAL TONOPAH TOWN</v>
      </c>
      <c r="B182" s="68">
        <f>B175</f>
        <v>0.40820000000000001</v>
      </c>
      <c r="C182" s="68">
        <f>C175</f>
        <v>0</v>
      </c>
      <c r="D182" s="69">
        <f t="shared" ref="D182:Q182" si="42">SUM(D175:D177,D179:D180)</f>
        <v>1550</v>
      </c>
      <c r="E182" s="204"/>
      <c r="F182" s="69">
        <f>SUM(F175:F177,F179:F180)</f>
        <v>88419108.272827059</v>
      </c>
      <c r="G182" s="70">
        <f>SUM(G175:G177,G179:G180)</f>
        <v>16793.061356000002</v>
      </c>
      <c r="H182" s="70">
        <f>SUM(H175:H177,H179:H180)</f>
        <v>345139.323776</v>
      </c>
      <c r="I182" s="70">
        <f t="shared" si="42"/>
        <v>0</v>
      </c>
      <c r="J182" s="70">
        <f t="shared" si="42"/>
        <v>1621.33</v>
      </c>
      <c r="K182" s="70">
        <f t="shared" si="42"/>
        <v>4.25</v>
      </c>
      <c r="L182" s="70">
        <f t="shared" si="42"/>
        <v>360315.30513200001</v>
      </c>
      <c r="M182" s="70">
        <f t="shared" si="42"/>
        <v>82247.75</v>
      </c>
      <c r="N182" s="70">
        <f t="shared" si="42"/>
        <v>278067.55513200001</v>
      </c>
      <c r="O182" s="70">
        <f t="shared" si="42"/>
        <v>0</v>
      </c>
      <c r="P182" s="70">
        <f t="shared" si="42"/>
        <v>98087.78</v>
      </c>
      <c r="Q182" s="70">
        <f t="shared" si="42"/>
        <v>179979.77513199998</v>
      </c>
    </row>
    <row r="183" spans="1:17">
      <c r="A183" s="150" t="s">
        <v>355</v>
      </c>
      <c r="B183" s="48"/>
      <c r="C183" s="48"/>
      <c r="D183" s="43"/>
      <c r="E183" s="173"/>
      <c r="F183" s="64">
        <v>88267577</v>
      </c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</row>
    <row r="184" spans="1:17">
      <c r="A184" s="151" t="s">
        <v>30</v>
      </c>
      <c r="B184" s="51"/>
      <c r="C184" s="51"/>
      <c r="D184" s="52"/>
      <c r="E184" s="203"/>
      <c r="F184" s="152">
        <f>F182-F183</f>
        <v>151531.27282705903</v>
      </c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</row>
    <row r="185" spans="1:17">
      <c r="A185" s="54" t="s">
        <v>202</v>
      </c>
      <c r="G185" s="64"/>
      <c r="H185" s="53"/>
      <c r="I185" s="53"/>
      <c r="J185" s="53"/>
      <c r="K185" s="53"/>
      <c r="L185" s="53"/>
      <c r="M185" s="53"/>
      <c r="N185" s="53"/>
      <c r="O185" s="53"/>
      <c r="P185" s="53"/>
      <c r="Q185" s="53"/>
    </row>
    <row r="186" spans="1:17">
      <c r="A186" s="83"/>
      <c r="B186" s="84"/>
      <c r="C186" s="84"/>
      <c r="D186" s="84"/>
      <c r="E186" s="65">
        <v>2743930</v>
      </c>
      <c r="F186" s="84"/>
      <c r="G186" s="59"/>
      <c r="H186" s="53"/>
      <c r="I186" s="53"/>
      <c r="J186" s="53"/>
      <c r="K186" s="53"/>
      <c r="L186" s="53"/>
      <c r="M186" s="53"/>
      <c r="N186" s="53"/>
      <c r="O186" s="53"/>
      <c r="P186" s="53"/>
      <c r="Q186" s="53"/>
    </row>
    <row r="187" spans="1:17">
      <c r="A187" s="49" t="s">
        <v>15</v>
      </c>
      <c r="B187" s="48">
        <v>0.31</v>
      </c>
      <c r="C187" s="48">
        <v>0</v>
      </c>
      <c r="D187" s="43">
        <v>2145</v>
      </c>
      <c r="E187" s="173">
        <f>G187/B187*100</f>
        <v>145467.74193548388</v>
      </c>
      <c r="F187" s="43">
        <v>40987743</v>
      </c>
      <c r="G187" s="53">
        <v>450.95</v>
      </c>
      <c r="H187" s="53">
        <v>127359.42</v>
      </c>
      <c r="I187" s="53">
        <v>0</v>
      </c>
      <c r="J187" s="53">
        <v>747.66</v>
      </c>
      <c r="K187" s="53">
        <v>0</v>
      </c>
      <c r="L187" s="53">
        <f>G187+H187+I187-J187+K187</f>
        <v>127062.70999999999</v>
      </c>
      <c r="M187" s="53">
        <v>11758.72</v>
      </c>
      <c r="N187" s="53">
        <f>L187-M187</f>
        <v>115303.98999999999</v>
      </c>
      <c r="O187" s="53">
        <v>0</v>
      </c>
      <c r="P187" s="53">
        <v>0</v>
      </c>
      <c r="Q187" s="53">
        <f>N187-O187-P187</f>
        <v>115303.98999999999</v>
      </c>
    </row>
    <row r="188" spans="1:17">
      <c r="A188" s="47" t="s">
        <v>16</v>
      </c>
      <c r="B188" s="48">
        <f>B187</f>
        <v>0.31</v>
      </c>
      <c r="C188" s="48">
        <f>C187</f>
        <v>0</v>
      </c>
      <c r="D188" s="43"/>
      <c r="E188" s="173"/>
      <c r="F188" s="65">
        <f>IF(E186&gt;E187,E186-E187,0)</f>
        <v>2598462.2580645159</v>
      </c>
      <c r="G188" s="53">
        <f>F188*(B188-C188)/100</f>
        <v>8055.2329999999993</v>
      </c>
      <c r="H188" s="53"/>
      <c r="I188" s="53">
        <f>F188*C188/100</f>
        <v>0</v>
      </c>
      <c r="J188" s="53"/>
      <c r="K188" s="53"/>
      <c r="L188" s="53">
        <f>G188+H188+I188-J188+K188</f>
        <v>8055.2329999999993</v>
      </c>
      <c r="M188" s="53"/>
      <c r="N188" s="53">
        <f>L188-M188</f>
        <v>8055.2329999999993</v>
      </c>
      <c r="O188" s="53"/>
      <c r="P188" s="53"/>
      <c r="Q188" s="53">
        <f>N188-O188-P188</f>
        <v>8055.2329999999993</v>
      </c>
    </row>
    <row r="189" spans="1:17">
      <c r="A189" s="47" t="s">
        <v>17</v>
      </c>
      <c r="B189" s="48">
        <f>B187</f>
        <v>0.31</v>
      </c>
      <c r="C189" s="48">
        <f>C187</f>
        <v>0</v>
      </c>
      <c r="D189" s="43"/>
      <c r="E189" s="173"/>
      <c r="F189" s="66">
        <v>26955573</v>
      </c>
      <c r="G189" s="53"/>
      <c r="H189" s="53">
        <f>F189*(B189-C189)/100</f>
        <v>83562.276299999998</v>
      </c>
      <c r="I189" s="53">
        <f>F189*C189/100</f>
        <v>0</v>
      </c>
      <c r="J189" s="53">
        <v>0</v>
      </c>
      <c r="K189" s="53">
        <v>0</v>
      </c>
      <c r="L189" s="53">
        <f>G189+H189+I189-J189+K189</f>
        <v>83562.276299999998</v>
      </c>
      <c r="M189" s="53">
        <v>0</v>
      </c>
      <c r="N189" s="53">
        <f>L189-M189</f>
        <v>83562.276299999998</v>
      </c>
      <c r="O189" s="53">
        <v>0</v>
      </c>
      <c r="P189" s="320">
        <v>39869.89</v>
      </c>
      <c r="Q189" s="53">
        <f>N189-O189-P189</f>
        <v>43692.386299999998</v>
      </c>
    </row>
    <row r="190" spans="1:17">
      <c r="A190" s="47" t="s">
        <v>18</v>
      </c>
      <c r="B190" s="48"/>
      <c r="C190" s="48"/>
      <c r="D190" s="43"/>
      <c r="E190" s="173"/>
      <c r="F190" s="4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1:17">
      <c r="A191" s="67" t="s">
        <v>19</v>
      </c>
      <c r="B191" s="48">
        <f>B187</f>
        <v>0.31</v>
      </c>
      <c r="C191" s="48">
        <f>C187</f>
        <v>0</v>
      </c>
      <c r="D191" s="43"/>
      <c r="E191" s="173"/>
      <c r="F191" s="43">
        <v>10880605.220000001</v>
      </c>
      <c r="G191" s="53">
        <v>1048.01</v>
      </c>
      <c r="H191" s="53">
        <v>32685.02</v>
      </c>
      <c r="I191" s="53">
        <v>0</v>
      </c>
      <c r="J191" s="53">
        <v>1016.08</v>
      </c>
      <c r="K191" s="53">
        <v>0</v>
      </c>
      <c r="L191" s="53">
        <f>G191+H191+I191-J191+K191</f>
        <v>32716.949999999997</v>
      </c>
      <c r="M191" s="53">
        <v>2886.07</v>
      </c>
      <c r="N191" s="53">
        <f>L191-M191</f>
        <v>29830.879999999997</v>
      </c>
      <c r="O191" s="53">
        <v>0</v>
      </c>
      <c r="P191" s="53">
        <v>253.86</v>
      </c>
      <c r="Q191" s="53">
        <f>N191-O191-P191</f>
        <v>29577.019999999997</v>
      </c>
    </row>
    <row r="192" spans="1:17">
      <c r="A192" s="67" t="s">
        <v>20</v>
      </c>
      <c r="B192" s="48">
        <f>B187</f>
        <v>0.31</v>
      </c>
      <c r="C192" s="48">
        <f>C187</f>
        <v>0</v>
      </c>
      <c r="D192" s="43"/>
      <c r="E192" s="173"/>
      <c r="F192" s="43">
        <v>1555668.5</v>
      </c>
      <c r="G192" s="53">
        <v>4822.57</v>
      </c>
      <c r="H192" s="53"/>
      <c r="I192" s="53">
        <v>0</v>
      </c>
      <c r="J192" s="53">
        <v>0</v>
      </c>
      <c r="K192" s="53">
        <v>0</v>
      </c>
      <c r="L192" s="53">
        <f>G192+H192+I192-J192+K192</f>
        <v>4822.57</v>
      </c>
      <c r="M192" s="53">
        <v>0</v>
      </c>
      <c r="N192" s="53">
        <f>L192-M192</f>
        <v>4822.57</v>
      </c>
      <c r="O192" s="53">
        <v>0</v>
      </c>
      <c r="P192" s="53">
        <v>3.31</v>
      </c>
      <c r="Q192" s="53">
        <f>N192-O192-P192</f>
        <v>4819.2599999999993</v>
      </c>
    </row>
    <row r="193" spans="1:17">
      <c r="A193" s="47"/>
      <c r="B193" s="48"/>
      <c r="C193" s="48"/>
      <c r="D193" s="43"/>
      <c r="E193" s="173"/>
      <c r="F193" s="4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</row>
    <row r="194" spans="1:17" s="50" customFormat="1" ht="13.5" thickBot="1">
      <c r="A194" s="60" t="str">
        <f>"TOTAL "&amp;A185</f>
        <v>TOTAL AMARGOSA LIBRARY DISTRICT</v>
      </c>
      <c r="B194" s="68">
        <f>B187</f>
        <v>0.31</v>
      </c>
      <c r="C194" s="68">
        <f>C187</f>
        <v>0</v>
      </c>
      <c r="D194" s="69">
        <f t="shared" ref="D194:Q194" si="43">SUM(D187:D189,D191:D192)</f>
        <v>2145</v>
      </c>
      <c r="E194" s="204"/>
      <c r="F194" s="69">
        <f t="shared" si="43"/>
        <v>82978051.978064507</v>
      </c>
      <c r="G194" s="70">
        <f t="shared" si="43"/>
        <v>14376.762999999999</v>
      </c>
      <c r="H194" s="70">
        <f t="shared" si="43"/>
        <v>243606.7163</v>
      </c>
      <c r="I194" s="70">
        <f t="shared" si="43"/>
        <v>0</v>
      </c>
      <c r="J194" s="70">
        <f t="shared" si="43"/>
        <v>1763.74</v>
      </c>
      <c r="K194" s="70">
        <f t="shared" si="43"/>
        <v>0</v>
      </c>
      <c r="L194" s="70">
        <f t="shared" si="43"/>
        <v>256219.73930000002</v>
      </c>
      <c r="M194" s="70">
        <f t="shared" si="43"/>
        <v>14644.789999999999</v>
      </c>
      <c r="N194" s="70">
        <f t="shared" si="43"/>
        <v>241574.94929999998</v>
      </c>
      <c r="O194" s="70">
        <f t="shared" si="43"/>
        <v>0</v>
      </c>
      <c r="P194" s="70">
        <f t="shared" si="43"/>
        <v>40127.06</v>
      </c>
      <c r="Q194" s="70">
        <f t="shared" si="43"/>
        <v>201447.88929999998</v>
      </c>
    </row>
    <row r="195" spans="1:17">
      <c r="A195" s="150" t="s">
        <v>355</v>
      </c>
      <c r="B195" s="48"/>
      <c r="C195" s="48"/>
      <c r="D195" s="43"/>
      <c r="E195" s="173"/>
      <c r="F195" s="64">
        <v>78459356</v>
      </c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</row>
    <row r="196" spans="1:17">
      <c r="A196" s="151" t="s">
        <v>30</v>
      </c>
      <c r="B196" s="51"/>
      <c r="C196" s="51"/>
      <c r="D196" s="52"/>
      <c r="E196" s="203"/>
      <c r="F196" s="152">
        <f>F194-F195</f>
        <v>4518695.9780645072</v>
      </c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</row>
    <row r="197" spans="1:17">
      <c r="A197" s="54" t="s">
        <v>203</v>
      </c>
      <c r="G197" s="64"/>
      <c r="H197" s="53"/>
      <c r="I197" s="53"/>
      <c r="J197" s="53"/>
      <c r="K197" s="53"/>
      <c r="L197" s="53"/>
      <c r="M197" s="53"/>
      <c r="N197" s="53"/>
      <c r="O197" s="53"/>
      <c r="P197" s="53"/>
      <c r="Q197" s="53"/>
    </row>
    <row r="198" spans="1:17">
      <c r="A198" s="83"/>
      <c r="B198" s="84"/>
      <c r="C198" s="84"/>
      <c r="D198" s="84"/>
      <c r="E198" s="65">
        <v>2023292</v>
      </c>
      <c r="F198" s="84"/>
      <c r="G198" s="59"/>
      <c r="H198" s="53"/>
      <c r="I198" s="53"/>
      <c r="J198" s="53"/>
      <c r="K198" s="53"/>
      <c r="L198" s="53"/>
      <c r="M198" s="53"/>
      <c r="N198" s="53"/>
      <c r="O198" s="53"/>
      <c r="P198" s="53"/>
      <c r="Q198" s="53"/>
    </row>
    <row r="199" spans="1:17">
      <c r="A199" s="49" t="s">
        <v>15</v>
      </c>
      <c r="B199" s="48">
        <v>0.32</v>
      </c>
      <c r="C199" s="48">
        <v>0</v>
      </c>
      <c r="D199" s="43">
        <v>830</v>
      </c>
      <c r="E199" s="173">
        <f>G199/B199*100</f>
        <v>647800</v>
      </c>
      <c r="F199" s="43">
        <v>20343153</v>
      </c>
      <c r="G199" s="53">
        <v>2072.96</v>
      </c>
      <c r="H199" s="53">
        <v>63823.5</v>
      </c>
      <c r="I199" s="53">
        <v>0</v>
      </c>
      <c r="J199" s="53">
        <v>797.57</v>
      </c>
      <c r="K199" s="53">
        <v>0</v>
      </c>
      <c r="L199" s="53">
        <f>G199+H199+I199-J199+K199</f>
        <v>65098.890000000007</v>
      </c>
      <c r="M199" s="274">
        <v>6174.51</v>
      </c>
      <c r="N199" s="53">
        <f>L199-M199</f>
        <v>58924.380000000005</v>
      </c>
      <c r="O199" s="53">
        <v>0</v>
      </c>
      <c r="P199" s="53">
        <v>0</v>
      </c>
      <c r="Q199" s="53">
        <f>N199-O199-P199</f>
        <v>58924.380000000005</v>
      </c>
    </row>
    <row r="200" spans="1:17">
      <c r="A200" s="47" t="s">
        <v>16</v>
      </c>
      <c r="B200" s="48">
        <f>B199</f>
        <v>0.32</v>
      </c>
      <c r="C200" s="48">
        <f>C199</f>
        <v>0</v>
      </c>
      <c r="D200" s="43"/>
      <c r="E200" s="173"/>
      <c r="F200" s="65">
        <f>IF(E198&gt;E199,E198-E199,0)</f>
        <v>1375492</v>
      </c>
      <c r="G200" s="53">
        <f>F200*(B200-C200)/100</f>
        <v>4401.5744000000004</v>
      </c>
      <c r="H200" s="53"/>
      <c r="I200" s="53">
        <f>F200*C200/100</f>
        <v>0</v>
      </c>
      <c r="J200" s="53"/>
      <c r="K200" s="53"/>
      <c r="L200" s="53">
        <f>G200+H200+I200-J200+K200</f>
        <v>4401.5744000000004</v>
      </c>
      <c r="M200" s="53"/>
      <c r="N200" s="53">
        <f>L200-M200</f>
        <v>4401.5744000000004</v>
      </c>
      <c r="O200" s="53"/>
      <c r="P200" s="53"/>
      <c r="Q200" s="53">
        <f>N200-O200-P200</f>
        <v>4401.5744000000004</v>
      </c>
    </row>
    <row r="201" spans="1:17">
      <c r="A201" s="47" t="s">
        <v>17</v>
      </c>
      <c r="B201" s="48">
        <f>B199</f>
        <v>0.32</v>
      </c>
      <c r="C201" s="48">
        <f>C199</f>
        <v>0</v>
      </c>
      <c r="D201" s="13" t="s">
        <v>469</v>
      </c>
      <c r="E201" s="173"/>
      <c r="F201" s="66">
        <v>3347480</v>
      </c>
      <c r="G201" s="53"/>
      <c r="H201" s="53">
        <f>F201*(B201-C201)/100</f>
        <v>10711.936000000002</v>
      </c>
      <c r="I201" s="53">
        <f>F201*C201/100</f>
        <v>0</v>
      </c>
      <c r="J201" s="53">
        <v>0</v>
      </c>
      <c r="K201" s="53">
        <v>0</v>
      </c>
      <c r="L201" s="53">
        <f>G201+H201+I201-J201+K201</f>
        <v>10711.936000000002</v>
      </c>
      <c r="M201" s="53">
        <v>0</v>
      </c>
      <c r="N201" s="53">
        <f>L201-M201</f>
        <v>10711.936000000002</v>
      </c>
      <c r="O201" s="53">
        <v>0</v>
      </c>
      <c r="P201" s="53">
        <v>0</v>
      </c>
      <c r="Q201" s="53">
        <f>N201-O201-P201</f>
        <v>10711.936000000002</v>
      </c>
    </row>
    <row r="202" spans="1:17">
      <c r="A202" s="47" t="s">
        <v>18</v>
      </c>
      <c r="B202" s="48"/>
      <c r="C202" s="48"/>
      <c r="D202" s="43"/>
      <c r="E202" s="173"/>
      <c r="F202" s="4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</row>
    <row r="203" spans="1:17">
      <c r="A203" s="67" t="s">
        <v>19</v>
      </c>
      <c r="B203" s="48">
        <f>B199</f>
        <v>0.32</v>
      </c>
      <c r="C203" s="48">
        <f>C199</f>
        <v>0</v>
      </c>
      <c r="D203" s="43"/>
      <c r="E203" s="173"/>
      <c r="F203" s="43">
        <v>6231227.4400000004</v>
      </c>
      <c r="G203" s="53">
        <v>2.65</v>
      </c>
      <c r="H203" s="53">
        <v>19938.86</v>
      </c>
      <c r="I203" s="53">
        <v>0</v>
      </c>
      <c r="J203" s="53">
        <v>493.83</v>
      </c>
      <c r="K203" s="53">
        <v>0</v>
      </c>
      <c r="L203" s="53">
        <f>G203+H203+I203-J203+K203</f>
        <v>19447.68</v>
      </c>
      <c r="M203" s="53">
        <v>5501.36</v>
      </c>
      <c r="N203" s="53">
        <f>L203-M203</f>
        <v>13946.32</v>
      </c>
      <c r="O203" s="53">
        <v>0</v>
      </c>
      <c r="P203" s="53">
        <v>0</v>
      </c>
      <c r="Q203" s="53">
        <f>N203-O203-P203</f>
        <v>13946.32</v>
      </c>
    </row>
    <row r="204" spans="1:17">
      <c r="A204" s="67" t="s">
        <v>20</v>
      </c>
      <c r="B204" s="48">
        <f>B199</f>
        <v>0.32</v>
      </c>
      <c r="C204" s="48">
        <f>C199</f>
        <v>0</v>
      </c>
      <c r="D204" s="43"/>
      <c r="E204" s="173"/>
      <c r="F204" s="43">
        <v>1620474.74</v>
      </c>
      <c r="G204" s="53">
        <v>5185.5200000000004</v>
      </c>
      <c r="H204" s="53"/>
      <c r="I204" s="53">
        <v>0</v>
      </c>
      <c r="J204" s="53">
        <v>0</v>
      </c>
      <c r="K204" s="53">
        <v>0</v>
      </c>
      <c r="L204" s="53">
        <f>G204+H204+I204-J204+K204</f>
        <v>5185.5200000000004</v>
      </c>
      <c r="M204" s="53">
        <v>0</v>
      </c>
      <c r="N204" s="53">
        <f>L204-M204</f>
        <v>5185.5200000000004</v>
      </c>
      <c r="O204" s="53">
        <v>0</v>
      </c>
      <c r="P204" s="53">
        <v>0</v>
      </c>
      <c r="Q204" s="53">
        <f>N204-O204-P204</f>
        <v>5185.5200000000004</v>
      </c>
    </row>
    <row r="205" spans="1:17">
      <c r="A205" s="47"/>
      <c r="B205" s="48"/>
      <c r="C205" s="48"/>
      <c r="D205" s="43"/>
      <c r="E205" s="173"/>
      <c r="F205" s="4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</row>
    <row r="206" spans="1:17" s="50" customFormat="1" ht="13.5" thickBot="1">
      <c r="A206" s="60" t="str">
        <f>"TOTAL "&amp;A197</f>
        <v>TOTAL BEATTY LIBRARY DISTRICT</v>
      </c>
      <c r="B206" s="68">
        <f>B199</f>
        <v>0.32</v>
      </c>
      <c r="C206" s="68">
        <f>C199</f>
        <v>0</v>
      </c>
      <c r="D206" s="69">
        <f t="shared" ref="D206:Q206" si="44">SUM(D199:D201,D203:D204)</f>
        <v>830</v>
      </c>
      <c r="E206" s="204"/>
      <c r="F206" s="69">
        <f t="shared" si="44"/>
        <v>32917827.18</v>
      </c>
      <c r="G206" s="70">
        <f t="shared" si="44"/>
        <v>11662.704400000001</v>
      </c>
      <c r="H206" s="70">
        <f t="shared" si="44"/>
        <v>94474.296000000002</v>
      </c>
      <c r="I206" s="70">
        <f t="shared" si="44"/>
        <v>0</v>
      </c>
      <c r="J206" s="70">
        <f t="shared" si="44"/>
        <v>1291.4000000000001</v>
      </c>
      <c r="K206" s="70">
        <f t="shared" si="44"/>
        <v>0</v>
      </c>
      <c r="L206" s="70">
        <f t="shared" si="44"/>
        <v>104845.60040000001</v>
      </c>
      <c r="M206" s="70">
        <f t="shared" si="44"/>
        <v>11675.869999999999</v>
      </c>
      <c r="N206" s="70">
        <f t="shared" si="44"/>
        <v>93169.730400000015</v>
      </c>
      <c r="O206" s="70">
        <f t="shared" si="44"/>
        <v>0</v>
      </c>
      <c r="P206" s="70">
        <f t="shared" si="44"/>
        <v>0</v>
      </c>
      <c r="Q206" s="70">
        <f t="shared" si="44"/>
        <v>93169.730400000015</v>
      </c>
    </row>
    <row r="207" spans="1:17">
      <c r="A207" s="150" t="s">
        <v>355</v>
      </c>
      <c r="B207" s="48"/>
      <c r="C207" s="48"/>
      <c r="D207" s="43"/>
      <c r="E207" s="173"/>
      <c r="F207" s="64">
        <v>32756977</v>
      </c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</row>
    <row r="208" spans="1:17">
      <c r="A208" s="151" t="s">
        <v>30</v>
      </c>
      <c r="B208" s="51"/>
      <c r="C208" s="51"/>
      <c r="D208" s="52"/>
      <c r="E208" s="203"/>
      <c r="F208" s="152">
        <f>F206-F207</f>
        <v>160850.1799999997</v>
      </c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>
      <c r="A209" s="54" t="s">
        <v>204</v>
      </c>
      <c r="B209" s="50"/>
      <c r="C209" s="50"/>
      <c r="D209" s="50"/>
      <c r="E209" s="211"/>
      <c r="F209" s="50"/>
      <c r="G209" s="64"/>
      <c r="H209" s="53"/>
      <c r="I209" s="53"/>
      <c r="J209" s="53"/>
      <c r="K209" s="53"/>
      <c r="L209" s="53"/>
      <c r="M209" s="53"/>
      <c r="N209" s="53"/>
      <c r="O209" s="53"/>
      <c r="P209" s="53"/>
      <c r="Q209" s="53"/>
    </row>
    <row r="210" spans="1:17">
      <c r="A210" s="50"/>
      <c r="E210" s="65">
        <v>15883258</v>
      </c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</row>
    <row r="211" spans="1:17">
      <c r="A211" s="49" t="s">
        <v>15</v>
      </c>
      <c r="B211" s="48">
        <v>0.2</v>
      </c>
      <c r="C211" s="48">
        <v>0</v>
      </c>
      <c r="D211" s="43">
        <v>3996</v>
      </c>
      <c r="E211" s="173">
        <f>G211/B211*100</f>
        <v>1087515</v>
      </c>
      <c r="F211" s="43">
        <v>331456031</v>
      </c>
      <c r="G211" s="53">
        <v>2175.0300000000002</v>
      </c>
      <c r="H211" s="53">
        <v>661574.54</v>
      </c>
      <c r="I211" s="53">
        <v>0</v>
      </c>
      <c r="J211" s="53">
        <v>825.04</v>
      </c>
      <c r="K211" s="53">
        <v>232.15</v>
      </c>
      <c r="L211" s="53">
        <f>G211+H211+I211-J211+K211</f>
        <v>663156.68000000005</v>
      </c>
      <c r="M211" s="53">
        <v>186022.34</v>
      </c>
      <c r="N211" s="53">
        <f>L211-M211</f>
        <v>477134.34000000008</v>
      </c>
      <c r="O211" s="53">
        <v>0</v>
      </c>
      <c r="P211" s="53">
        <v>9477.8700000000008</v>
      </c>
      <c r="Q211" s="53">
        <f>N211-O211-P211</f>
        <v>467656.47000000009</v>
      </c>
    </row>
    <row r="212" spans="1:17">
      <c r="A212" s="47" t="s">
        <v>16</v>
      </c>
      <c r="B212" s="48">
        <f>B211</f>
        <v>0.2</v>
      </c>
      <c r="C212" s="48">
        <f>C211</f>
        <v>0</v>
      </c>
      <c r="D212" s="43"/>
      <c r="E212" s="173"/>
      <c r="F212" s="65">
        <f>IF(E210&gt;E211,E210-E211,0)</f>
        <v>14795743</v>
      </c>
      <c r="G212" s="53">
        <f>F212*(B212-C212)/100</f>
        <v>29591.486000000001</v>
      </c>
      <c r="H212" s="53"/>
      <c r="I212" s="53">
        <f>F212*C212/100</f>
        <v>0</v>
      </c>
      <c r="J212" s="53"/>
      <c r="K212" s="53"/>
      <c r="L212" s="53">
        <f>G212+H212+I212-J212+K212</f>
        <v>29591.486000000001</v>
      </c>
      <c r="M212" s="53"/>
      <c r="N212" s="53">
        <f>L212-M212</f>
        <v>29591.486000000001</v>
      </c>
      <c r="O212" s="53"/>
      <c r="P212" s="53"/>
      <c r="Q212" s="53">
        <f>N212-O212-P212</f>
        <v>29591.486000000001</v>
      </c>
    </row>
    <row r="213" spans="1:17">
      <c r="A213" s="47" t="s">
        <v>17</v>
      </c>
      <c r="B213" s="48">
        <f>B211</f>
        <v>0.2</v>
      </c>
      <c r="C213" s="48">
        <f>C211</f>
        <v>0</v>
      </c>
      <c r="D213" s="43"/>
      <c r="E213" s="173"/>
      <c r="F213" s="66">
        <v>33210521</v>
      </c>
      <c r="G213" s="53"/>
      <c r="H213" s="53">
        <f>F213*(B213-C213)/100</f>
        <v>66421.042000000001</v>
      </c>
      <c r="I213" s="53">
        <f>F213*C213/100</f>
        <v>0</v>
      </c>
      <c r="J213" s="53">
        <v>0</v>
      </c>
      <c r="K213" s="53">
        <v>0</v>
      </c>
      <c r="L213" s="53">
        <f>G213+H213+I213-J213+K213</f>
        <v>66421.042000000001</v>
      </c>
      <c r="M213" s="53">
        <v>0</v>
      </c>
      <c r="N213" s="53">
        <f>L213-M213</f>
        <v>66421.042000000001</v>
      </c>
      <c r="O213" s="53">
        <v>0</v>
      </c>
      <c r="P213" s="320">
        <v>38580.81</v>
      </c>
      <c r="Q213" s="53">
        <f>N213-O213-P213</f>
        <v>27840.232000000004</v>
      </c>
    </row>
    <row r="214" spans="1:17">
      <c r="A214" s="47" t="s">
        <v>18</v>
      </c>
      <c r="B214" s="48"/>
      <c r="C214" s="48"/>
      <c r="D214" s="43"/>
      <c r="E214" s="173"/>
      <c r="F214" s="4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>
      <c r="A215" s="67" t="s">
        <v>19</v>
      </c>
      <c r="B215" s="48">
        <f>B211</f>
        <v>0.2</v>
      </c>
      <c r="C215" s="48">
        <f>C211</f>
        <v>0</v>
      </c>
      <c r="D215" s="43"/>
      <c r="E215" s="173"/>
      <c r="F215" s="43">
        <v>188289264.28999999</v>
      </c>
      <c r="G215" s="53">
        <v>230585.77</v>
      </c>
      <c r="H215" s="53">
        <v>146272.56</v>
      </c>
      <c r="I215" s="53">
        <v>0</v>
      </c>
      <c r="J215" s="53">
        <v>139894.88</v>
      </c>
      <c r="K215" s="53">
        <v>0</v>
      </c>
      <c r="L215" s="53">
        <f>G215+H215+I215-J215+K215</f>
        <v>236963.44999999995</v>
      </c>
      <c r="M215" s="53">
        <v>4474.83</v>
      </c>
      <c r="N215" s="53">
        <f>L215-M215</f>
        <v>232488.61999999997</v>
      </c>
      <c r="O215" s="53">
        <v>0</v>
      </c>
      <c r="P215" s="53">
        <v>24908.21</v>
      </c>
      <c r="Q215" s="53">
        <f>N215-O215-P215</f>
        <v>207580.40999999997</v>
      </c>
    </row>
    <row r="216" spans="1:17">
      <c r="A216" s="67" t="s">
        <v>20</v>
      </c>
      <c r="B216" s="48">
        <f>B211</f>
        <v>0.2</v>
      </c>
      <c r="C216" s="48">
        <f>C211</f>
        <v>0</v>
      </c>
      <c r="D216" s="43"/>
      <c r="E216" s="173"/>
      <c r="F216" s="43">
        <v>8121347.8200000003</v>
      </c>
      <c r="G216" s="53">
        <v>16176.96</v>
      </c>
      <c r="H216" s="53">
        <v>65.73</v>
      </c>
      <c r="I216" s="53">
        <v>0</v>
      </c>
      <c r="J216" s="53">
        <v>0</v>
      </c>
      <c r="K216" s="53">
        <v>0</v>
      </c>
      <c r="L216" s="53">
        <f>G216+H216+I216-J216+K216</f>
        <v>16242.689999999999</v>
      </c>
      <c r="M216" s="53">
        <v>0</v>
      </c>
      <c r="N216" s="53">
        <f>L216-M216</f>
        <v>16242.689999999999</v>
      </c>
      <c r="O216" s="53">
        <v>0</v>
      </c>
      <c r="P216" s="53">
        <v>5.88</v>
      </c>
      <c r="Q216" s="53">
        <f>N216-O216-P216</f>
        <v>16236.81</v>
      </c>
    </row>
    <row r="217" spans="1:17">
      <c r="A217" s="47"/>
      <c r="B217" s="48"/>
      <c r="C217" s="48"/>
      <c r="D217" s="43"/>
      <c r="E217" s="173"/>
      <c r="F217" s="4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</row>
    <row r="218" spans="1:17" s="50" customFormat="1" ht="13.5" thickBot="1">
      <c r="A218" s="60" t="str">
        <f>"TOTAL "&amp;A209</f>
        <v>TOTAL NYE COUNTY HOSPITAL DISTRICT</v>
      </c>
      <c r="B218" s="68">
        <f>B211</f>
        <v>0.2</v>
      </c>
      <c r="C218" s="68">
        <f>C211</f>
        <v>0</v>
      </c>
      <c r="D218" s="69">
        <f t="shared" ref="D218:Q218" si="45">SUM(D211:D213,D215:D216)</f>
        <v>3996</v>
      </c>
      <c r="E218" s="204"/>
      <c r="F218" s="69">
        <f t="shared" si="45"/>
        <v>575872907.11000001</v>
      </c>
      <c r="G218" s="70">
        <f t="shared" si="45"/>
        <v>278529.24599999998</v>
      </c>
      <c r="H218" s="70">
        <f t="shared" si="45"/>
        <v>874333.87199999997</v>
      </c>
      <c r="I218" s="70">
        <f t="shared" si="45"/>
        <v>0</v>
      </c>
      <c r="J218" s="70">
        <f t="shared" si="45"/>
        <v>140719.92000000001</v>
      </c>
      <c r="K218" s="70">
        <f t="shared" si="45"/>
        <v>232.15</v>
      </c>
      <c r="L218" s="70">
        <f t="shared" si="45"/>
        <v>1012375.348</v>
      </c>
      <c r="M218" s="70">
        <f t="shared" si="45"/>
        <v>190497.16999999998</v>
      </c>
      <c r="N218" s="70">
        <f t="shared" si="45"/>
        <v>821878.17799999996</v>
      </c>
      <c r="O218" s="70">
        <f t="shared" si="45"/>
        <v>0</v>
      </c>
      <c r="P218" s="70">
        <f t="shared" si="45"/>
        <v>72972.77</v>
      </c>
      <c r="Q218" s="70">
        <f t="shared" si="45"/>
        <v>748905.40800000005</v>
      </c>
    </row>
    <row r="219" spans="1:17">
      <c r="A219" s="150" t="s">
        <v>355</v>
      </c>
      <c r="B219" s="48"/>
      <c r="C219" s="48"/>
      <c r="D219" s="43"/>
      <c r="E219" s="173"/>
      <c r="F219" s="64">
        <v>502059306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</row>
    <row r="220" spans="1:17">
      <c r="A220" s="151" t="s">
        <v>30</v>
      </c>
      <c r="B220" s="51"/>
      <c r="C220" s="51"/>
      <c r="D220" s="52"/>
      <c r="E220" s="203"/>
      <c r="F220" s="152">
        <f>(F218-ROUND(J218/B218,0))-F219</f>
        <v>73110001.110000014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</row>
    <row r="221" spans="1:17">
      <c r="A221" s="54" t="s">
        <v>215</v>
      </c>
      <c r="G221" s="64"/>
      <c r="H221" s="53"/>
      <c r="I221" s="53"/>
      <c r="J221" s="53"/>
      <c r="K221" s="53"/>
      <c r="L221" s="53"/>
      <c r="M221" s="53"/>
      <c r="N221" s="53"/>
      <c r="O221" s="53"/>
      <c r="P221" s="53"/>
      <c r="Q221" s="53"/>
    </row>
    <row r="222" spans="1:17">
      <c r="E222" s="65">
        <v>58348228</v>
      </c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</row>
    <row r="223" spans="1:17">
      <c r="A223" s="49" t="s">
        <v>15</v>
      </c>
      <c r="B223" s="550">
        <v>9.9400000000000002E-2</v>
      </c>
      <c r="C223" s="48">
        <v>0</v>
      </c>
      <c r="D223" s="47">
        <v>51364</v>
      </c>
      <c r="E223" s="173">
        <f>G223/B223*100</f>
        <v>28818269.617706235</v>
      </c>
      <c r="F223" s="43">
        <v>1652144965</v>
      </c>
      <c r="G223" s="53">
        <v>28645.360000000001</v>
      </c>
      <c r="H223" s="53">
        <v>1638487.02</v>
      </c>
      <c r="I223" s="53">
        <v>0</v>
      </c>
      <c r="J223" s="53">
        <v>24603.67</v>
      </c>
      <c r="K223" s="53">
        <v>32.15</v>
      </c>
      <c r="L223" s="53">
        <f>G223+H223+I223-J223+K223</f>
        <v>1642560.86</v>
      </c>
      <c r="M223" s="53">
        <v>348124.09</v>
      </c>
      <c r="N223" s="53">
        <f>L223-M223</f>
        <v>1294436.77</v>
      </c>
      <c r="O223" s="53">
        <v>0</v>
      </c>
      <c r="P223" s="53">
        <v>0</v>
      </c>
      <c r="Q223" s="53">
        <f>N223-O223-P223</f>
        <v>1294436.77</v>
      </c>
    </row>
    <row r="224" spans="1:17">
      <c r="A224" s="47" t="s">
        <v>16</v>
      </c>
      <c r="B224" s="550">
        <f>B223</f>
        <v>9.9400000000000002E-2</v>
      </c>
      <c r="C224" s="48">
        <f>C223</f>
        <v>0</v>
      </c>
      <c r="D224" s="43"/>
      <c r="E224" s="173"/>
      <c r="F224" s="65">
        <f>IF(E222&gt;E223,E222-E223,0)</f>
        <v>29529958.382293765</v>
      </c>
      <c r="G224" s="53">
        <f>F224*(B224-C224)/100</f>
        <v>29352.778632000005</v>
      </c>
      <c r="H224" s="53"/>
      <c r="I224" s="53">
        <f>F224*C224/100</f>
        <v>0</v>
      </c>
      <c r="J224" s="53"/>
      <c r="K224" s="53"/>
      <c r="L224" s="53">
        <f>G224+H224+I224-J224+K224</f>
        <v>29352.778632000005</v>
      </c>
      <c r="M224" s="53"/>
      <c r="N224" s="53">
        <f>L224-M224</f>
        <v>29352.778632000005</v>
      </c>
      <c r="O224" s="53"/>
      <c r="P224" s="53"/>
      <c r="Q224" s="53">
        <f>N224-O224-P224</f>
        <v>29352.778632000005</v>
      </c>
    </row>
    <row r="225" spans="1:17">
      <c r="A225" s="47" t="s">
        <v>17</v>
      </c>
      <c r="B225" s="550">
        <f>B223</f>
        <v>9.9400000000000002E-2</v>
      </c>
      <c r="C225" s="48">
        <f>C223</f>
        <v>0</v>
      </c>
      <c r="D225" s="43"/>
      <c r="E225" s="173"/>
      <c r="F225" s="66">
        <v>50330668</v>
      </c>
      <c r="G225" s="53"/>
      <c r="H225" s="53">
        <f>F225*(B225-C225)/100</f>
        <v>50028.683991999998</v>
      </c>
      <c r="I225" s="53">
        <f>F225*C225/100</f>
        <v>0</v>
      </c>
      <c r="J225" s="53">
        <v>0</v>
      </c>
      <c r="K225" s="53">
        <v>0</v>
      </c>
      <c r="L225" s="53">
        <f>G225+H225+I225-J225+K225</f>
        <v>50028.683991999998</v>
      </c>
      <c r="M225" s="53">
        <v>0</v>
      </c>
      <c r="N225" s="53">
        <f>L225-M225</f>
        <v>50028.683991999998</v>
      </c>
      <c r="O225" s="53">
        <v>0</v>
      </c>
      <c r="P225" s="320">
        <v>4514.1899999999996</v>
      </c>
      <c r="Q225" s="53">
        <f>N225-O225-P225</f>
        <v>45514.493991999996</v>
      </c>
    </row>
    <row r="226" spans="1:17">
      <c r="A226" s="47" t="s">
        <v>18</v>
      </c>
      <c r="B226" s="550"/>
      <c r="C226" s="48"/>
      <c r="D226" s="43"/>
      <c r="E226" s="173"/>
      <c r="F226" s="4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1:17">
      <c r="A227" s="67" t="s">
        <v>19</v>
      </c>
      <c r="B227" s="550">
        <f>B223</f>
        <v>9.9400000000000002E-2</v>
      </c>
      <c r="C227" s="48">
        <f>C223</f>
        <v>0</v>
      </c>
      <c r="D227" s="43"/>
      <c r="E227" s="173"/>
      <c r="F227" s="43">
        <v>58565570.130000003</v>
      </c>
      <c r="G227" s="53">
        <v>0</v>
      </c>
      <c r="H227" s="53">
        <v>58214.96</v>
      </c>
      <c r="I227" s="53">
        <v>0</v>
      </c>
      <c r="J227" s="53">
        <v>796.02</v>
      </c>
      <c r="K227" s="53">
        <v>0</v>
      </c>
      <c r="L227" s="53">
        <f>G227+H227+I227-J227+K227</f>
        <v>57418.94</v>
      </c>
      <c r="M227" s="53">
        <v>41213.35</v>
      </c>
      <c r="N227" s="53">
        <f>L227-M227</f>
        <v>16205.590000000004</v>
      </c>
      <c r="O227" s="53">
        <v>0</v>
      </c>
      <c r="P227" s="53">
        <v>0</v>
      </c>
      <c r="Q227" s="53">
        <f>N227-O227-P227</f>
        <v>16205.590000000004</v>
      </c>
    </row>
    <row r="228" spans="1:17">
      <c r="A228" s="67" t="s">
        <v>20</v>
      </c>
      <c r="B228" s="550">
        <f>B223</f>
        <v>9.9400000000000002E-2</v>
      </c>
      <c r="C228" s="48">
        <f>C223</f>
        <v>0</v>
      </c>
      <c r="D228" s="43"/>
      <c r="E228" s="173"/>
      <c r="F228" s="43">
        <v>18303641.719999999</v>
      </c>
      <c r="G228" s="53">
        <v>18193.82</v>
      </c>
      <c r="H228" s="53"/>
      <c r="I228" s="53">
        <v>0</v>
      </c>
      <c r="J228" s="53">
        <v>0</v>
      </c>
      <c r="K228" s="53">
        <v>0</v>
      </c>
      <c r="L228" s="53">
        <f>G228+H228+I228-J228+K228</f>
        <v>18193.82</v>
      </c>
      <c r="M228" s="53">
        <v>0</v>
      </c>
      <c r="N228" s="53">
        <f>L228-M228</f>
        <v>18193.82</v>
      </c>
      <c r="O228" s="53">
        <v>0</v>
      </c>
      <c r="P228" s="53">
        <v>0</v>
      </c>
      <c r="Q228" s="53">
        <f>N228-O228-P228</f>
        <v>18193.82</v>
      </c>
    </row>
    <row r="229" spans="1:17">
      <c r="A229" s="47"/>
      <c r="B229" s="550"/>
      <c r="C229" s="48"/>
      <c r="D229" s="43"/>
      <c r="E229" s="173"/>
      <c r="F229" s="4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</row>
    <row r="230" spans="1:17" s="50" customFormat="1" ht="13.5" thickBot="1">
      <c r="A230" s="60" t="str">
        <f>"TOTAL "&amp;A221</f>
        <v>TOTAL PAHRUMP COMMUNITY LIBRARY DISTRICT</v>
      </c>
      <c r="B230" s="554">
        <f>B223</f>
        <v>9.9400000000000002E-2</v>
      </c>
      <c r="C230" s="68">
        <f>C223</f>
        <v>0</v>
      </c>
      <c r="D230" s="69">
        <f t="shared" ref="D230:Q230" si="46">SUM(D223:D225,D227:D228)</f>
        <v>51364</v>
      </c>
      <c r="E230" s="204"/>
      <c r="F230" s="69">
        <f t="shared" si="46"/>
        <v>1808874803.2322938</v>
      </c>
      <c r="G230" s="70">
        <f t="shared" si="46"/>
        <v>76191.958631999994</v>
      </c>
      <c r="H230" s="70">
        <f t="shared" si="46"/>
        <v>1746730.663992</v>
      </c>
      <c r="I230" s="70">
        <f t="shared" si="46"/>
        <v>0</v>
      </c>
      <c r="J230" s="70">
        <f t="shared" si="46"/>
        <v>25399.69</v>
      </c>
      <c r="K230" s="70">
        <f t="shared" si="46"/>
        <v>32.15</v>
      </c>
      <c r="L230" s="70">
        <f t="shared" si="46"/>
        <v>1797555.0826240003</v>
      </c>
      <c r="M230" s="70">
        <f t="shared" si="46"/>
        <v>389337.44</v>
      </c>
      <c r="N230" s="70">
        <f t="shared" si="46"/>
        <v>1408217.6426240003</v>
      </c>
      <c r="O230" s="70">
        <f t="shared" si="46"/>
        <v>0</v>
      </c>
      <c r="P230" s="70">
        <f t="shared" si="46"/>
        <v>4514.1899999999996</v>
      </c>
      <c r="Q230" s="70">
        <f t="shared" si="46"/>
        <v>1403703.4526240001</v>
      </c>
    </row>
    <row r="231" spans="1:17">
      <c r="A231" s="150" t="s">
        <v>355</v>
      </c>
      <c r="B231" s="48"/>
      <c r="C231" s="48"/>
      <c r="D231" s="43"/>
      <c r="E231" s="173"/>
      <c r="F231" s="64">
        <v>1807966903</v>
      </c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1:17">
      <c r="A232" s="151" t="s">
        <v>30</v>
      </c>
      <c r="B232" s="51"/>
      <c r="C232" s="51"/>
      <c r="D232" s="52"/>
      <c r="E232" s="203"/>
      <c r="F232" s="152">
        <f>F230-F231</f>
        <v>907900.23229384422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  <row r="233" spans="1:17">
      <c r="A233" s="54" t="s">
        <v>205</v>
      </c>
      <c r="B233" s="50"/>
      <c r="C233" s="50"/>
      <c r="D233" s="50"/>
      <c r="E233" s="211"/>
      <c r="F233" s="50"/>
      <c r="G233" s="64"/>
      <c r="H233" s="53"/>
      <c r="I233" s="53"/>
      <c r="J233" s="53"/>
      <c r="K233" s="53"/>
      <c r="L233" s="53"/>
      <c r="M233" s="53"/>
      <c r="N233" s="53"/>
      <c r="O233" s="53"/>
      <c r="P233" s="53"/>
      <c r="Q233" s="53"/>
    </row>
    <row r="234" spans="1:17">
      <c r="E234" s="65">
        <v>58348228</v>
      </c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</row>
    <row r="235" spans="1:17">
      <c r="A235" s="49" t="s">
        <v>15</v>
      </c>
      <c r="B235" s="48">
        <v>1.6299999999999999E-2</v>
      </c>
      <c r="C235" s="48">
        <v>0</v>
      </c>
      <c r="D235" s="43">
        <v>51364</v>
      </c>
      <c r="E235" s="173">
        <f>G235/B235*100</f>
        <v>28818895.705521472</v>
      </c>
      <c r="F235" s="43">
        <v>1652144965</v>
      </c>
      <c r="G235" s="53">
        <v>4697.4799999999996</v>
      </c>
      <c r="H235" s="53">
        <v>268661.49</v>
      </c>
      <c r="I235" s="53">
        <v>0</v>
      </c>
      <c r="J235" s="53">
        <v>4033.23</v>
      </c>
      <c r="K235" s="53">
        <v>3.05</v>
      </c>
      <c r="L235" s="53">
        <f>G235+H235+I235-J235+K235</f>
        <v>269328.78999999998</v>
      </c>
      <c r="M235" s="53">
        <v>55783.14</v>
      </c>
      <c r="N235" s="53">
        <f>L235-M235</f>
        <v>213545.64999999997</v>
      </c>
      <c r="O235" s="53">
        <v>0</v>
      </c>
      <c r="P235" s="53"/>
      <c r="Q235" s="53">
        <f>N235-O235-P235</f>
        <v>213545.64999999997</v>
      </c>
    </row>
    <row r="236" spans="1:17">
      <c r="A236" s="47" t="s">
        <v>16</v>
      </c>
      <c r="B236" s="48">
        <f>B235</f>
        <v>1.6299999999999999E-2</v>
      </c>
      <c r="C236" s="48">
        <f>C235</f>
        <v>0</v>
      </c>
      <c r="D236" s="43"/>
      <c r="E236" s="173"/>
      <c r="F236" s="65">
        <f>IF(E234&gt;E235,E234-E235,0)</f>
        <v>29529332.294478528</v>
      </c>
      <c r="G236" s="53">
        <f>F236*(B236-C236)/100</f>
        <v>4813.2811639999991</v>
      </c>
      <c r="H236" s="53"/>
      <c r="I236" s="53">
        <f>F236*C236/100</f>
        <v>0</v>
      </c>
      <c r="J236" s="53"/>
      <c r="K236" s="53"/>
      <c r="L236" s="53">
        <f>G236+H236+I236-J236+K236</f>
        <v>4813.2811639999991</v>
      </c>
      <c r="M236" s="53"/>
      <c r="N236" s="53">
        <f>L236-M236</f>
        <v>4813.2811639999991</v>
      </c>
      <c r="O236" s="53"/>
      <c r="P236" s="53"/>
      <c r="Q236" s="53">
        <f>N236-O236-P236</f>
        <v>4813.2811639999991</v>
      </c>
    </row>
    <row r="237" spans="1:17">
      <c r="A237" s="47" t="s">
        <v>17</v>
      </c>
      <c r="B237" s="48">
        <f>B235</f>
        <v>1.6299999999999999E-2</v>
      </c>
      <c r="C237" s="48">
        <f>C235</f>
        <v>0</v>
      </c>
      <c r="D237" s="43"/>
      <c r="E237" s="173"/>
      <c r="F237" s="66">
        <v>50330668</v>
      </c>
      <c r="G237" s="53"/>
      <c r="H237" s="53">
        <f>F237*(B237-C237)/100</f>
        <v>8203.8988840000002</v>
      </c>
      <c r="I237" s="53">
        <f>F237*C237/100</f>
        <v>0</v>
      </c>
      <c r="J237" s="53">
        <v>0</v>
      </c>
      <c r="K237" s="53">
        <v>0</v>
      </c>
      <c r="L237" s="53">
        <f>G237+H237+I237-J237+K237</f>
        <v>8203.8988840000002</v>
      </c>
      <c r="M237" s="53">
        <v>0</v>
      </c>
      <c r="N237" s="53">
        <f>L237-M237</f>
        <v>8203.8988840000002</v>
      </c>
      <c r="O237" s="53">
        <v>0</v>
      </c>
      <c r="P237" s="320">
        <v>736.55</v>
      </c>
      <c r="Q237" s="53">
        <f>N237-O237-P237</f>
        <v>7467.348884</v>
      </c>
    </row>
    <row r="238" spans="1:17">
      <c r="A238" s="47" t="s">
        <v>18</v>
      </c>
      <c r="B238" s="48"/>
      <c r="C238" s="48"/>
      <c r="D238" s="43"/>
      <c r="E238" s="173"/>
      <c r="F238" s="4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</row>
    <row r="239" spans="1:17">
      <c r="A239" s="67" t="s">
        <v>19</v>
      </c>
      <c r="B239" s="48">
        <f>B235</f>
        <v>1.6299999999999999E-2</v>
      </c>
      <c r="C239" s="48">
        <f>C235</f>
        <v>0</v>
      </c>
      <c r="D239" s="43"/>
      <c r="E239" s="173"/>
      <c r="F239" s="43">
        <v>58566235.609999999</v>
      </c>
      <c r="G239" s="53">
        <v>0</v>
      </c>
      <c r="H239" s="53">
        <v>9546.32</v>
      </c>
      <c r="I239" s="53">
        <v>0</v>
      </c>
      <c r="J239" s="53">
        <v>130.54</v>
      </c>
      <c r="K239" s="53">
        <v>0</v>
      </c>
      <c r="L239" s="53">
        <f>G239+H239+I239-J239+K239</f>
        <v>9415.7799999999988</v>
      </c>
      <c r="M239" s="53">
        <v>5944.78</v>
      </c>
      <c r="N239" s="53">
        <f>L239-M239</f>
        <v>3470.9999999999991</v>
      </c>
      <c r="O239" s="53">
        <v>0</v>
      </c>
      <c r="P239" s="53">
        <v>0</v>
      </c>
      <c r="Q239" s="53">
        <f>N239-O239-P239</f>
        <v>3470.9999999999991</v>
      </c>
    </row>
    <row r="240" spans="1:17">
      <c r="A240" s="67" t="s">
        <v>20</v>
      </c>
      <c r="B240" s="48">
        <f>B235</f>
        <v>1.6299999999999999E-2</v>
      </c>
      <c r="C240" s="48">
        <f>C235</f>
        <v>0</v>
      </c>
      <c r="D240" s="43"/>
      <c r="E240" s="173"/>
      <c r="F240" s="43">
        <v>18303641.719999999</v>
      </c>
      <c r="G240" s="53">
        <v>2983.49</v>
      </c>
      <c r="H240" s="53"/>
      <c r="I240" s="53">
        <v>0</v>
      </c>
      <c r="J240" s="53">
        <v>0</v>
      </c>
      <c r="K240" s="53">
        <v>0</v>
      </c>
      <c r="L240" s="53">
        <f>G240+H240+I240-J240+K240</f>
        <v>2983.49</v>
      </c>
      <c r="M240" s="53">
        <v>0</v>
      </c>
      <c r="N240" s="53">
        <f>L240-M240</f>
        <v>2983.49</v>
      </c>
      <c r="O240" s="53">
        <v>0</v>
      </c>
      <c r="P240" s="53">
        <v>0</v>
      </c>
      <c r="Q240" s="53">
        <f>N240-O240-P240</f>
        <v>2983.49</v>
      </c>
    </row>
    <row r="241" spans="1:17">
      <c r="A241" s="47"/>
      <c r="B241" s="48"/>
      <c r="C241" s="48"/>
      <c r="D241" s="43"/>
      <c r="E241" s="173"/>
      <c r="F241" s="4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</row>
    <row r="242" spans="1:17" s="50" customFormat="1" ht="13.5" thickBot="1">
      <c r="A242" s="60" t="str">
        <f>"TOTAL "&amp;A233</f>
        <v>TOTAL PAHRUMP SWIMMING POOL DISTRICT</v>
      </c>
      <c r="B242" s="68">
        <f>B235</f>
        <v>1.6299999999999999E-2</v>
      </c>
      <c r="C242" s="68">
        <f>C235</f>
        <v>0</v>
      </c>
      <c r="D242" s="69">
        <f t="shared" ref="D242:Q242" si="47">SUM(D235:D237,D239:D240)</f>
        <v>51364</v>
      </c>
      <c r="E242" s="204"/>
      <c r="F242" s="69">
        <f t="shared" si="47"/>
        <v>1808874842.6244783</v>
      </c>
      <c r="G242" s="70">
        <f t="shared" si="47"/>
        <v>12494.251163999999</v>
      </c>
      <c r="H242" s="70">
        <f t="shared" si="47"/>
        <v>286411.70888400002</v>
      </c>
      <c r="I242" s="70">
        <f t="shared" si="47"/>
        <v>0</v>
      </c>
      <c r="J242" s="70">
        <f t="shared" si="47"/>
        <v>4163.7700000000004</v>
      </c>
      <c r="K242" s="70">
        <f t="shared" si="47"/>
        <v>3.05</v>
      </c>
      <c r="L242" s="70">
        <f t="shared" si="47"/>
        <v>294745.24004800001</v>
      </c>
      <c r="M242" s="70">
        <f t="shared" si="47"/>
        <v>61727.92</v>
      </c>
      <c r="N242" s="70">
        <f t="shared" si="47"/>
        <v>233017.32004799994</v>
      </c>
      <c r="O242" s="70">
        <f t="shared" si="47"/>
        <v>0</v>
      </c>
      <c r="P242" s="70">
        <f t="shared" si="47"/>
        <v>736.55</v>
      </c>
      <c r="Q242" s="70">
        <f t="shared" si="47"/>
        <v>232280.77004799995</v>
      </c>
    </row>
    <row r="243" spans="1:17">
      <c r="A243" s="150" t="s">
        <v>355</v>
      </c>
      <c r="B243" s="48"/>
      <c r="C243" s="48"/>
      <c r="D243" s="43"/>
      <c r="E243" s="173"/>
      <c r="F243" s="64">
        <v>1807966903</v>
      </c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</row>
    <row r="244" spans="1:17">
      <c r="A244" s="151" t="s">
        <v>30</v>
      </c>
      <c r="B244" s="51"/>
      <c r="C244" s="51"/>
      <c r="D244" s="52"/>
      <c r="E244" s="203"/>
      <c r="F244" s="152">
        <f>F242-F243</f>
        <v>907939.62447834015</v>
      </c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</row>
    <row r="245" spans="1:17">
      <c r="A245" s="54" t="s">
        <v>206</v>
      </c>
      <c r="G245" s="64"/>
      <c r="H245" s="53"/>
      <c r="I245" s="53"/>
      <c r="J245" s="53"/>
      <c r="K245" s="53"/>
      <c r="L245" s="53"/>
      <c r="M245" s="53"/>
      <c r="N245" s="53"/>
      <c r="O245" s="53"/>
      <c r="P245" s="53"/>
      <c r="Q245" s="53"/>
    </row>
    <row r="246" spans="1:17">
      <c r="E246" s="65">
        <v>11395684</v>
      </c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</row>
    <row r="247" spans="1:17">
      <c r="A247" s="49" t="s">
        <v>15</v>
      </c>
      <c r="B247" s="48">
        <v>0.2918</v>
      </c>
      <c r="C247" s="48">
        <v>0</v>
      </c>
      <c r="D247" s="43">
        <v>1431</v>
      </c>
      <c r="E247" s="173">
        <f>G247/B247*100</f>
        <v>0</v>
      </c>
      <c r="F247" s="43">
        <v>234706111</v>
      </c>
      <c r="G247" s="53">
        <v>0</v>
      </c>
      <c r="H247" s="53">
        <v>685175.38</v>
      </c>
      <c r="I247" s="53">
        <v>0</v>
      </c>
      <c r="J247" s="53">
        <v>286.18</v>
      </c>
      <c r="K247" s="53">
        <v>16.739999999999998</v>
      </c>
      <c r="L247" s="53">
        <f>G247+H247+I247-J247+K247</f>
        <v>684905.94</v>
      </c>
      <c r="M247" s="53">
        <v>183432.38</v>
      </c>
      <c r="N247" s="53">
        <f>L247-M247</f>
        <v>501473.55999999994</v>
      </c>
      <c r="O247" s="53">
        <v>0</v>
      </c>
      <c r="P247" s="53">
        <v>0</v>
      </c>
      <c r="Q247" s="53">
        <f>N247-O247-P247</f>
        <v>501473.55999999994</v>
      </c>
    </row>
    <row r="248" spans="1:17">
      <c r="A248" s="47" t="s">
        <v>16</v>
      </c>
      <c r="B248" s="48">
        <f>B247</f>
        <v>0.2918</v>
      </c>
      <c r="C248" s="48">
        <f>C247</f>
        <v>0</v>
      </c>
      <c r="D248" s="43"/>
      <c r="E248" s="173"/>
      <c r="F248" s="65">
        <f>IF(E246&gt;E247,E246-E247,0)</f>
        <v>11395684</v>
      </c>
      <c r="G248" s="53">
        <f>F248*(B248-C248)/100</f>
        <v>33252.605911999999</v>
      </c>
      <c r="H248" s="53"/>
      <c r="I248" s="53">
        <f>F248*C248/100</f>
        <v>0</v>
      </c>
      <c r="J248" s="53"/>
      <c r="K248" s="53"/>
      <c r="L248" s="53">
        <f>G248+H248+I248-J248+K248</f>
        <v>33252.605911999999</v>
      </c>
      <c r="M248" s="53"/>
      <c r="N248" s="53">
        <f>L248-M248</f>
        <v>33252.605911999999</v>
      </c>
      <c r="O248" s="53"/>
      <c r="P248" s="53"/>
      <c r="Q248" s="53">
        <f>N248-O248-P248</f>
        <v>33252.605911999999</v>
      </c>
    </row>
    <row r="249" spans="1:17">
      <c r="A249" s="47" t="s">
        <v>17</v>
      </c>
      <c r="B249" s="48">
        <f>B247</f>
        <v>0.2918</v>
      </c>
      <c r="C249" s="48">
        <f>C247</f>
        <v>0</v>
      </c>
      <c r="D249" s="43"/>
      <c r="E249" s="173"/>
      <c r="F249" s="66">
        <v>11304313</v>
      </c>
      <c r="G249" s="53"/>
      <c r="H249" s="53">
        <f>F249*(B249-C249)/100</f>
        <v>32985.985333999997</v>
      </c>
      <c r="I249" s="53">
        <f>F249*C249/100</f>
        <v>0</v>
      </c>
      <c r="J249" s="53">
        <v>0</v>
      </c>
      <c r="K249" s="53">
        <v>0</v>
      </c>
      <c r="L249" s="53">
        <f>G249+H249+I249-J249+K249</f>
        <v>32985.985333999997</v>
      </c>
      <c r="M249" s="53">
        <v>0</v>
      </c>
      <c r="N249" s="53">
        <f>L249-M249</f>
        <v>32985.985333999997</v>
      </c>
      <c r="O249" s="53">
        <v>0</v>
      </c>
      <c r="P249" s="53">
        <v>0</v>
      </c>
      <c r="Q249" s="53">
        <f>N249-O249-P249</f>
        <v>32985.985333999997</v>
      </c>
    </row>
    <row r="250" spans="1:17">
      <c r="A250" s="47" t="s">
        <v>18</v>
      </c>
      <c r="B250" s="48"/>
      <c r="C250" s="48"/>
      <c r="D250" s="43"/>
      <c r="E250" s="173"/>
      <c r="F250" s="4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</row>
    <row r="251" spans="1:17">
      <c r="A251" s="67" t="s">
        <v>19</v>
      </c>
      <c r="B251" s="48">
        <f>B247</f>
        <v>0.2918</v>
      </c>
      <c r="C251" s="48">
        <f>C247</f>
        <v>0</v>
      </c>
      <c r="D251" s="43"/>
      <c r="E251" s="173"/>
      <c r="F251" s="43">
        <v>9166086.5099999998</v>
      </c>
      <c r="G251" s="53">
        <v>979.08</v>
      </c>
      <c r="H251" s="53">
        <v>25770.84</v>
      </c>
      <c r="I251" s="53">
        <v>0</v>
      </c>
      <c r="J251" s="53">
        <v>1120.69</v>
      </c>
      <c r="K251" s="53">
        <v>0</v>
      </c>
      <c r="L251" s="53">
        <f>G251+H251+I251-J251+K251</f>
        <v>25629.230000000003</v>
      </c>
      <c r="M251" s="53">
        <v>1120.69</v>
      </c>
      <c r="N251" s="53">
        <f>L251-M251</f>
        <v>24508.540000000005</v>
      </c>
      <c r="O251" s="53">
        <v>0</v>
      </c>
      <c r="P251" s="53">
        <v>0</v>
      </c>
      <c r="Q251" s="53">
        <f>N251-O251-P251</f>
        <v>24508.540000000005</v>
      </c>
    </row>
    <row r="252" spans="1:17">
      <c r="A252" s="67" t="s">
        <v>20</v>
      </c>
      <c r="B252" s="48">
        <f>B247</f>
        <v>0.2918</v>
      </c>
      <c r="C252" s="48">
        <f>C247</f>
        <v>0</v>
      </c>
      <c r="D252" s="43"/>
      <c r="E252" s="173"/>
      <c r="F252" s="43">
        <v>2254946.08</v>
      </c>
      <c r="G252" s="53">
        <v>6579.93</v>
      </c>
      <c r="H252" s="53"/>
      <c r="I252" s="53">
        <v>0</v>
      </c>
      <c r="J252" s="53">
        <v>0</v>
      </c>
      <c r="K252" s="53">
        <v>0</v>
      </c>
      <c r="L252" s="53">
        <f>G252+H252+I252-J252+K252</f>
        <v>6579.93</v>
      </c>
      <c r="M252" s="53"/>
      <c r="N252" s="53">
        <f>L252-M252</f>
        <v>6579.93</v>
      </c>
      <c r="O252" s="53">
        <v>0</v>
      </c>
      <c r="P252" s="53">
        <v>0</v>
      </c>
      <c r="Q252" s="53">
        <f>N252-O252-P252</f>
        <v>6579.93</v>
      </c>
    </row>
    <row r="253" spans="1:17">
      <c r="A253" s="47"/>
      <c r="B253" s="48"/>
      <c r="C253" s="48"/>
      <c r="D253" s="43"/>
      <c r="E253" s="173"/>
      <c r="F253" s="4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</row>
    <row r="254" spans="1:17" s="50" customFormat="1" ht="13.5" thickBot="1">
      <c r="A254" s="60" t="str">
        <f>"TOTAL "&amp;A245</f>
        <v>TOTAL SMOKY VALLEY LIBRARY DISTRICT</v>
      </c>
      <c r="B254" s="68">
        <f>B247</f>
        <v>0.2918</v>
      </c>
      <c r="C254" s="68">
        <f>C247</f>
        <v>0</v>
      </c>
      <c r="D254" s="69">
        <f t="shared" ref="D254:Q254" si="48">SUM(D247:D249,D251:D252)</f>
        <v>1431</v>
      </c>
      <c r="E254" s="204"/>
      <c r="F254" s="69">
        <f t="shared" si="48"/>
        <v>268827140.58999997</v>
      </c>
      <c r="G254" s="70">
        <f t="shared" si="48"/>
        <v>40811.615912000001</v>
      </c>
      <c r="H254" s="70">
        <f t="shared" si="48"/>
        <v>743932.20533399994</v>
      </c>
      <c r="I254" s="70">
        <f t="shared" si="48"/>
        <v>0</v>
      </c>
      <c r="J254" s="70">
        <f t="shared" si="48"/>
        <v>1406.8700000000001</v>
      </c>
      <c r="K254" s="70">
        <f t="shared" si="48"/>
        <v>16.739999999999998</v>
      </c>
      <c r="L254" s="70">
        <f t="shared" si="48"/>
        <v>783353.69124599989</v>
      </c>
      <c r="M254" s="70">
        <f t="shared" si="48"/>
        <v>184553.07</v>
      </c>
      <c r="N254" s="70">
        <f t="shared" si="48"/>
        <v>598800.62124600005</v>
      </c>
      <c r="O254" s="70">
        <f t="shared" si="48"/>
        <v>0</v>
      </c>
      <c r="P254" s="70">
        <f t="shared" si="48"/>
        <v>0</v>
      </c>
      <c r="Q254" s="70">
        <f t="shared" si="48"/>
        <v>598800.62124600005</v>
      </c>
    </row>
    <row r="255" spans="1:17">
      <c r="A255" s="150" t="s">
        <v>355</v>
      </c>
      <c r="B255" s="48"/>
      <c r="C255" s="48"/>
      <c r="D255" s="43"/>
      <c r="E255" s="173"/>
      <c r="F255" s="64">
        <v>268444202</v>
      </c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</row>
    <row r="256" spans="1:17">
      <c r="A256" s="151" t="s">
        <v>30</v>
      </c>
      <c r="B256" s="51"/>
      <c r="C256" s="51"/>
      <c r="D256" s="52"/>
      <c r="E256" s="203"/>
      <c r="F256" s="152">
        <f>F254-F255</f>
        <v>382938.58999997377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</row>
    <row r="257" spans="1:17">
      <c r="A257" s="54" t="s">
        <v>207</v>
      </c>
      <c r="G257" s="64"/>
      <c r="H257" s="53"/>
      <c r="I257" s="53"/>
      <c r="J257" s="53"/>
      <c r="K257" s="53"/>
      <c r="L257" s="53"/>
      <c r="M257" s="53"/>
      <c r="N257" s="53"/>
      <c r="O257" s="53"/>
      <c r="P257" s="53"/>
      <c r="Q257" s="53"/>
    </row>
    <row r="258" spans="1:17">
      <c r="A258" s="83"/>
      <c r="B258" s="85"/>
      <c r="C258" s="85"/>
      <c r="D258" s="85"/>
      <c r="E258" s="65">
        <v>3107822</v>
      </c>
      <c r="F258" s="85"/>
      <c r="G258" s="86"/>
      <c r="H258" s="53"/>
      <c r="I258" s="53"/>
      <c r="J258" s="53"/>
      <c r="K258" s="53"/>
      <c r="L258" s="53"/>
      <c r="M258" s="53"/>
      <c r="N258" s="53"/>
      <c r="O258" s="53"/>
      <c r="P258" s="53"/>
      <c r="Q258" s="53"/>
    </row>
    <row r="259" spans="1:17">
      <c r="A259" s="49" t="s">
        <v>15</v>
      </c>
      <c r="B259" s="48">
        <v>0.2</v>
      </c>
      <c r="C259" s="48">
        <v>0</v>
      </c>
      <c r="D259" s="43">
        <v>1780</v>
      </c>
      <c r="E259" s="173">
        <f>G259/B259*100</f>
        <v>1087515</v>
      </c>
      <c r="F259" s="43">
        <v>69827392</v>
      </c>
      <c r="G259" s="53">
        <v>2175.0300000000002</v>
      </c>
      <c r="H259" s="53">
        <v>138007.72</v>
      </c>
      <c r="I259" s="53">
        <v>0</v>
      </c>
      <c r="J259" s="53">
        <v>526.62</v>
      </c>
      <c r="K259" s="53">
        <v>2.08</v>
      </c>
      <c r="L259" s="53">
        <f>G259+H259+I259-J259+K259</f>
        <v>139658.21</v>
      </c>
      <c r="M259" s="53">
        <v>42417.53</v>
      </c>
      <c r="N259" s="53">
        <f>L259-M259</f>
        <v>97240.68</v>
      </c>
      <c r="O259" s="53">
        <v>0</v>
      </c>
      <c r="P259" s="53">
        <v>9477.8700000000008</v>
      </c>
      <c r="Q259" s="53">
        <f>N259-O259-P259</f>
        <v>87762.81</v>
      </c>
    </row>
    <row r="260" spans="1:17">
      <c r="A260" s="47" t="s">
        <v>16</v>
      </c>
      <c r="B260" s="48">
        <f>B259</f>
        <v>0.2</v>
      </c>
      <c r="C260" s="48">
        <f>C259</f>
        <v>0</v>
      </c>
      <c r="D260" s="43"/>
      <c r="E260" s="173"/>
      <c r="F260" s="65">
        <f>IF(E258&gt;E259,E258-E259,0)</f>
        <v>2020307</v>
      </c>
      <c r="G260" s="53">
        <f>F260*(B260-C260)/100</f>
        <v>4040.614</v>
      </c>
      <c r="H260" s="53"/>
      <c r="I260" s="53">
        <f>F260*C260/100</f>
        <v>0</v>
      </c>
      <c r="J260" s="53"/>
      <c r="K260" s="53"/>
      <c r="L260" s="53">
        <f>G260+H260+I260-J260+K260</f>
        <v>4040.614</v>
      </c>
      <c r="M260" s="53"/>
      <c r="N260" s="53">
        <f>L260-M260</f>
        <v>4040.614</v>
      </c>
      <c r="O260" s="53"/>
      <c r="P260" s="53"/>
      <c r="Q260" s="53">
        <f>N260-O260-P260</f>
        <v>4040.614</v>
      </c>
    </row>
    <row r="261" spans="1:17">
      <c r="A261" s="47" t="s">
        <v>17</v>
      </c>
      <c r="B261" s="48">
        <f>B259</f>
        <v>0.2</v>
      </c>
      <c r="C261" s="48">
        <f>C259</f>
        <v>0</v>
      </c>
      <c r="D261" s="43"/>
      <c r="E261" s="173"/>
      <c r="F261" s="66">
        <v>16419288</v>
      </c>
      <c r="G261" s="53"/>
      <c r="H261" s="53">
        <f>F261*(B261-C261)/100</f>
        <v>32838.576000000001</v>
      </c>
      <c r="I261" s="53">
        <f>F261*C261/100</f>
        <v>0</v>
      </c>
      <c r="J261" s="53">
        <v>0</v>
      </c>
      <c r="K261" s="53">
        <v>0</v>
      </c>
      <c r="L261" s="53">
        <f>G261+H261+I261-J261+K261</f>
        <v>32838.576000000001</v>
      </c>
      <c r="M261" s="53">
        <v>0</v>
      </c>
      <c r="N261" s="53">
        <f>L261-M261</f>
        <v>32838.576000000001</v>
      </c>
      <c r="O261" s="53">
        <v>0</v>
      </c>
      <c r="P261" s="320">
        <v>38580.81</v>
      </c>
      <c r="Q261" s="53">
        <f>N261-O261-P261</f>
        <v>-5742.2339999999967</v>
      </c>
    </row>
    <row r="262" spans="1:17">
      <c r="A262" s="47" t="s">
        <v>18</v>
      </c>
      <c r="B262" s="48"/>
      <c r="C262" s="48"/>
      <c r="D262" s="43"/>
      <c r="E262" s="173"/>
      <c r="F262" s="4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</row>
    <row r="263" spans="1:17">
      <c r="A263" s="67" t="s">
        <v>19</v>
      </c>
      <c r="B263" s="48">
        <f>B259</f>
        <v>0.2</v>
      </c>
      <c r="C263" s="48">
        <f>C259</f>
        <v>0</v>
      </c>
      <c r="D263" s="43"/>
      <c r="E263" s="173"/>
      <c r="F263" s="43">
        <v>13506149.02</v>
      </c>
      <c r="G263" s="53">
        <v>937.76</v>
      </c>
      <c r="H263" s="53">
        <v>26076.7</v>
      </c>
      <c r="I263" s="53">
        <v>0</v>
      </c>
      <c r="J263" s="53">
        <v>1075.5899999999999</v>
      </c>
      <c r="K263" s="53">
        <v>0</v>
      </c>
      <c r="L263" s="53">
        <f>G263+H263+I263-J263+K263</f>
        <v>25938.87</v>
      </c>
      <c r="M263" s="53">
        <v>1867.84</v>
      </c>
      <c r="N263" s="53">
        <f>L263-M263</f>
        <v>24071.03</v>
      </c>
      <c r="O263" s="18">
        <v>0</v>
      </c>
      <c r="P263" s="53">
        <v>0</v>
      </c>
      <c r="Q263" s="53">
        <f>N263-O263-P263</f>
        <v>24071.03</v>
      </c>
    </row>
    <row r="264" spans="1:17">
      <c r="A264" s="67" t="s">
        <v>20</v>
      </c>
      <c r="B264" s="48">
        <f>B259</f>
        <v>0.2</v>
      </c>
      <c r="C264" s="48">
        <f>C259</f>
        <v>0</v>
      </c>
      <c r="D264" s="43"/>
      <c r="E264" s="173"/>
      <c r="F264" s="43">
        <v>3151120.32</v>
      </c>
      <c r="G264" s="53">
        <v>6302.24</v>
      </c>
      <c r="H264" s="53"/>
      <c r="I264" s="53">
        <v>0</v>
      </c>
      <c r="J264" s="53"/>
      <c r="K264" s="53"/>
      <c r="L264" s="53">
        <f>G264+H264+I264-J264+K264</f>
        <v>6302.24</v>
      </c>
      <c r="M264" s="53">
        <v>0</v>
      </c>
      <c r="N264" s="53">
        <f>L264-M264</f>
        <v>6302.24</v>
      </c>
      <c r="O264" s="53">
        <v>0</v>
      </c>
      <c r="P264" s="53">
        <v>0</v>
      </c>
      <c r="Q264" s="53">
        <f>N264-O264-P264</f>
        <v>6302.24</v>
      </c>
    </row>
    <row r="265" spans="1:17">
      <c r="A265" s="47"/>
      <c r="B265" s="48"/>
      <c r="C265" s="48"/>
      <c r="D265" s="43"/>
      <c r="E265" s="173"/>
      <c r="F265" s="4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</row>
    <row r="266" spans="1:17" s="50" customFormat="1" ht="13.5" thickBot="1">
      <c r="A266" s="60" t="str">
        <f>"TOTAL "&amp;A257</f>
        <v>TOTAL TONOPAH LIBRARY DISTRICT</v>
      </c>
      <c r="B266" s="68">
        <f>B259</f>
        <v>0.2</v>
      </c>
      <c r="C266" s="68">
        <f>C259</f>
        <v>0</v>
      </c>
      <c r="D266" s="69">
        <f t="shared" ref="D266:Q266" si="49">SUM(D259:D261,D263:D264)</f>
        <v>1780</v>
      </c>
      <c r="E266" s="204"/>
      <c r="F266" s="69">
        <f t="shared" si="49"/>
        <v>104924256.33999999</v>
      </c>
      <c r="G266" s="70">
        <f t="shared" si="49"/>
        <v>13455.644</v>
      </c>
      <c r="H266" s="70">
        <f t="shared" si="49"/>
        <v>196922.99600000001</v>
      </c>
      <c r="I266" s="70">
        <f t="shared" si="49"/>
        <v>0</v>
      </c>
      <c r="J266" s="70">
        <f t="shared" si="49"/>
        <v>1602.21</v>
      </c>
      <c r="K266" s="70">
        <f t="shared" si="49"/>
        <v>2.08</v>
      </c>
      <c r="L266" s="70">
        <f t="shared" si="49"/>
        <v>208778.50999999998</v>
      </c>
      <c r="M266" s="70">
        <f t="shared" si="49"/>
        <v>44285.369999999995</v>
      </c>
      <c r="N266" s="70">
        <f t="shared" si="49"/>
        <v>164493.13999999998</v>
      </c>
      <c r="O266" s="70">
        <f t="shared" si="49"/>
        <v>0</v>
      </c>
      <c r="P266" s="70">
        <f t="shared" si="49"/>
        <v>48058.68</v>
      </c>
      <c r="Q266" s="70">
        <f t="shared" si="49"/>
        <v>116434.46</v>
      </c>
    </row>
    <row r="267" spans="1:17">
      <c r="A267" s="150" t="s">
        <v>355</v>
      </c>
      <c r="B267" s="48"/>
      <c r="C267" s="48"/>
      <c r="D267" s="43"/>
      <c r="E267" s="173"/>
      <c r="F267" s="64">
        <v>104387457</v>
      </c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</row>
    <row r="268" spans="1:17">
      <c r="A268" s="151" t="s">
        <v>30</v>
      </c>
      <c r="B268" s="51"/>
      <c r="C268" s="51"/>
      <c r="D268" s="52"/>
      <c r="E268" s="203"/>
      <c r="F268" s="152">
        <f>F266-F267</f>
        <v>536799.33999998868</v>
      </c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</row>
    <row r="269" spans="1:17"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</row>
    <row r="270" spans="1:17">
      <c r="A270" s="50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</row>
    <row r="271" spans="1:17"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</row>
    <row r="272" spans="1:17">
      <c r="B272" s="48"/>
      <c r="C272" s="48"/>
      <c r="D272" s="43"/>
      <c r="E272" s="173"/>
      <c r="F272" s="4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</row>
    <row r="273" spans="1:17">
      <c r="A273" s="47"/>
      <c r="B273" s="48"/>
      <c r="C273" s="48"/>
      <c r="D273" s="43"/>
      <c r="E273" s="173"/>
      <c r="F273" s="4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</row>
    <row r="274" spans="1:17">
      <c r="A274" s="47"/>
      <c r="B274" s="48"/>
      <c r="C274" s="48"/>
      <c r="D274" s="43"/>
      <c r="E274" s="173"/>
      <c r="F274" s="4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</row>
    <row r="275" spans="1:17">
      <c r="A275" s="47"/>
      <c r="B275" s="48"/>
      <c r="C275" s="48"/>
      <c r="D275" s="43"/>
      <c r="E275" s="173"/>
      <c r="F275" s="4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</row>
    <row r="276" spans="1:17">
      <c r="A276" s="67"/>
      <c r="B276" s="48"/>
      <c r="C276" s="48"/>
      <c r="D276" s="43"/>
      <c r="E276" s="173"/>
      <c r="F276" s="4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</row>
    <row r="277" spans="1:17">
      <c r="A277" s="67"/>
      <c r="B277" s="48"/>
      <c r="C277" s="48"/>
      <c r="D277" s="43"/>
      <c r="E277" s="173"/>
      <c r="F277" s="4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</row>
    <row r="278" spans="1:17">
      <c r="A278" s="47"/>
      <c r="B278" s="48"/>
      <c r="C278" s="48"/>
      <c r="D278" s="43"/>
      <c r="E278" s="173"/>
      <c r="F278" s="4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</row>
    <row r="279" spans="1:17" s="50" customFormat="1">
      <c r="A279" s="57"/>
      <c r="B279" s="51"/>
      <c r="C279" s="51"/>
      <c r="D279" s="52"/>
      <c r="E279" s="203"/>
      <c r="F279" s="52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</row>
    <row r="280" spans="1:17"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</row>
    <row r="281" spans="1:17">
      <c r="A281" s="50"/>
      <c r="B281" s="50"/>
      <c r="C281" s="50"/>
      <c r="D281" s="50"/>
      <c r="E281" s="211"/>
      <c r="F281" s="50"/>
      <c r="G281" s="59"/>
      <c r="H281" s="53"/>
      <c r="I281" s="53"/>
      <c r="J281" s="53"/>
      <c r="K281" s="53"/>
      <c r="L281" s="53"/>
      <c r="M281" s="53"/>
      <c r="N281" s="53"/>
      <c r="O281" s="53"/>
      <c r="P281" s="53"/>
      <c r="Q281" s="53"/>
    </row>
    <row r="282" spans="1:17">
      <c r="A282" s="50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</row>
    <row r="283" spans="1:17"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</row>
    <row r="284" spans="1:17">
      <c r="B284" s="48"/>
      <c r="C284" s="48"/>
      <c r="D284" s="43"/>
      <c r="E284" s="173"/>
      <c r="F284" s="4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</row>
    <row r="285" spans="1:17">
      <c r="A285" s="47"/>
      <c r="B285" s="48"/>
      <c r="C285" s="48"/>
      <c r="D285" s="43"/>
      <c r="E285" s="173"/>
      <c r="F285" s="4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</row>
    <row r="286" spans="1:17">
      <c r="A286" s="47"/>
      <c r="B286" s="48"/>
      <c r="C286" s="48"/>
      <c r="D286" s="43"/>
      <c r="E286" s="173"/>
      <c r="F286" s="4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</row>
    <row r="287" spans="1:17">
      <c r="A287" s="47"/>
      <c r="B287" s="48"/>
      <c r="C287" s="48"/>
      <c r="D287" s="43"/>
      <c r="E287" s="173"/>
      <c r="F287" s="4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</row>
    <row r="288" spans="1:17">
      <c r="A288" s="67"/>
      <c r="B288" s="48"/>
      <c r="C288" s="48"/>
      <c r="D288" s="43"/>
      <c r="E288" s="173"/>
      <c r="F288" s="4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</row>
    <row r="289" spans="1:17">
      <c r="A289" s="67"/>
      <c r="B289" s="48"/>
      <c r="C289" s="48"/>
      <c r="D289" s="43"/>
      <c r="E289" s="173"/>
      <c r="F289" s="4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</row>
    <row r="290" spans="1:17">
      <c r="A290" s="47"/>
      <c r="B290" s="48"/>
      <c r="C290" s="48"/>
      <c r="D290" s="43"/>
      <c r="E290" s="173"/>
      <c r="F290" s="4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</row>
    <row r="291" spans="1:17" s="50" customFormat="1">
      <c r="A291" s="57"/>
      <c r="B291" s="51"/>
      <c r="C291" s="51"/>
      <c r="D291" s="52"/>
      <c r="E291" s="203"/>
      <c r="F291" s="52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</row>
    <row r="292" spans="1:17">
      <c r="A292" s="50"/>
      <c r="B292" s="50"/>
      <c r="C292" s="50"/>
      <c r="D292" s="50"/>
      <c r="E292" s="211"/>
      <c r="F292" s="50"/>
      <c r="G292" s="59"/>
      <c r="H292" s="53"/>
      <c r="I292" s="53"/>
      <c r="J292" s="53"/>
      <c r="K292" s="53"/>
      <c r="L292" s="53"/>
      <c r="M292" s="53"/>
      <c r="N292" s="53"/>
      <c r="O292" s="53"/>
      <c r="P292" s="53"/>
      <c r="Q292" s="53"/>
    </row>
    <row r="293" spans="1:17"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</row>
    <row r="294" spans="1:17">
      <c r="A294" s="50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</row>
    <row r="295" spans="1:17"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</row>
    <row r="296" spans="1:17">
      <c r="B296" s="48"/>
      <c r="C296" s="48"/>
      <c r="D296" s="43"/>
      <c r="E296" s="173"/>
      <c r="F296" s="4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</row>
    <row r="297" spans="1:17">
      <c r="A297" s="47"/>
      <c r="B297" s="48"/>
      <c r="C297" s="48"/>
      <c r="D297" s="43"/>
      <c r="E297" s="173"/>
      <c r="F297" s="4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</row>
    <row r="298" spans="1:17">
      <c r="A298" s="47"/>
      <c r="B298" s="48"/>
      <c r="C298" s="48"/>
      <c r="D298" s="43"/>
      <c r="E298" s="173"/>
      <c r="F298" s="4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</row>
    <row r="299" spans="1:17">
      <c r="A299" s="47"/>
      <c r="B299" s="48"/>
      <c r="C299" s="48"/>
      <c r="D299" s="43"/>
      <c r="E299" s="173"/>
      <c r="F299" s="4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</row>
    <row r="300" spans="1:17">
      <c r="A300" s="67"/>
      <c r="B300" s="48"/>
      <c r="C300" s="48"/>
      <c r="D300" s="43"/>
      <c r="E300" s="173"/>
      <c r="F300" s="4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</row>
    <row r="301" spans="1:17">
      <c r="A301" s="67"/>
      <c r="B301" s="48"/>
      <c r="C301" s="48"/>
      <c r="D301" s="43"/>
      <c r="E301" s="173"/>
      <c r="F301" s="4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</row>
    <row r="302" spans="1:17">
      <c r="A302" s="47"/>
      <c r="B302" s="48"/>
      <c r="C302" s="48"/>
      <c r="D302" s="43"/>
      <c r="E302" s="173"/>
      <c r="F302" s="4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</row>
    <row r="303" spans="1:17" s="50" customFormat="1">
      <c r="A303" s="57"/>
      <c r="B303" s="51"/>
      <c r="C303" s="51"/>
      <c r="D303" s="52"/>
      <c r="E303" s="203"/>
      <c r="F303" s="52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</row>
    <row r="304" spans="1:17"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</row>
    <row r="305" spans="1:17">
      <c r="A305" s="83"/>
      <c r="B305" s="84"/>
      <c r="C305" s="84"/>
      <c r="D305" s="84"/>
      <c r="E305" s="210"/>
      <c r="F305" s="84"/>
      <c r="G305" s="59"/>
      <c r="H305" s="53"/>
      <c r="I305" s="53"/>
      <c r="J305" s="53"/>
      <c r="K305" s="53"/>
      <c r="L305" s="53"/>
      <c r="M305" s="53"/>
      <c r="N305" s="53"/>
      <c r="O305" s="53"/>
      <c r="P305" s="53"/>
      <c r="Q305" s="53"/>
    </row>
    <row r="306" spans="1:17">
      <c r="A306" s="50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</row>
    <row r="307" spans="1:17">
      <c r="A307" s="50"/>
      <c r="B307" s="50"/>
      <c r="C307" s="50"/>
      <c r="D307" s="50"/>
      <c r="E307" s="211"/>
      <c r="F307" s="50"/>
      <c r="G307" s="59"/>
      <c r="H307" s="53"/>
      <c r="I307" s="53"/>
      <c r="J307" s="53"/>
      <c r="K307" s="53"/>
      <c r="L307" s="53"/>
      <c r="M307" s="53"/>
      <c r="N307" s="53"/>
      <c r="O307" s="53"/>
      <c r="P307" s="53"/>
      <c r="Q307" s="53"/>
    </row>
    <row r="308" spans="1:17">
      <c r="B308" s="48"/>
      <c r="C308" s="48"/>
      <c r="D308" s="43"/>
      <c r="E308" s="173"/>
      <c r="F308" s="4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</row>
    <row r="309" spans="1:17">
      <c r="A309" s="47"/>
      <c r="B309" s="48"/>
      <c r="C309" s="48"/>
      <c r="D309" s="43"/>
      <c r="E309" s="173"/>
      <c r="F309" s="4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</row>
    <row r="310" spans="1:17">
      <c r="A310" s="47"/>
      <c r="B310" s="48"/>
      <c r="C310" s="48"/>
      <c r="D310" s="43"/>
      <c r="E310" s="173"/>
      <c r="F310" s="4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</row>
    <row r="311" spans="1:17">
      <c r="A311" s="47"/>
      <c r="B311" s="48"/>
      <c r="C311" s="48"/>
      <c r="D311" s="43"/>
      <c r="E311" s="173"/>
      <c r="F311" s="4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</row>
    <row r="312" spans="1:17">
      <c r="A312" s="67"/>
      <c r="B312" s="48"/>
      <c r="C312" s="48"/>
      <c r="D312" s="43"/>
      <c r="E312" s="173"/>
      <c r="F312" s="4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</row>
    <row r="313" spans="1:17">
      <c r="A313" s="67"/>
      <c r="B313" s="48"/>
      <c r="C313" s="48"/>
      <c r="D313" s="43"/>
      <c r="E313" s="173"/>
      <c r="F313" s="4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</row>
    <row r="314" spans="1:17">
      <c r="A314" s="47"/>
      <c r="B314" s="48"/>
      <c r="C314" s="48"/>
      <c r="D314" s="43"/>
      <c r="E314" s="173"/>
      <c r="F314" s="4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</row>
    <row r="315" spans="1:17" s="50" customFormat="1">
      <c r="A315" s="57"/>
      <c r="B315" s="51"/>
      <c r="C315" s="51"/>
      <c r="D315" s="52"/>
      <c r="E315" s="203"/>
      <c r="F315" s="52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</row>
    <row r="316" spans="1:17"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</row>
    <row r="317" spans="1:17"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</row>
    <row r="318" spans="1:17">
      <c r="A318" s="50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</row>
    <row r="319" spans="1:17">
      <c r="A319" s="83"/>
      <c r="B319" s="84"/>
      <c r="C319" s="84"/>
      <c r="D319" s="84"/>
      <c r="E319" s="210"/>
      <c r="F319" s="84"/>
      <c r="G319" s="59"/>
      <c r="H319" s="53"/>
      <c r="I319" s="53"/>
      <c r="J319" s="53"/>
      <c r="K319" s="53"/>
      <c r="L319" s="53"/>
      <c r="M319" s="53"/>
      <c r="N319" s="53"/>
      <c r="O319" s="53"/>
      <c r="P319" s="53"/>
      <c r="Q319" s="53"/>
    </row>
    <row r="320" spans="1:17">
      <c r="B320" s="48"/>
      <c r="C320" s="48"/>
      <c r="D320" s="43"/>
      <c r="E320" s="173"/>
      <c r="F320" s="4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</row>
    <row r="321" spans="1:17">
      <c r="A321" s="47"/>
      <c r="B321" s="48"/>
      <c r="C321" s="48"/>
      <c r="D321" s="43"/>
      <c r="E321" s="173"/>
      <c r="F321" s="4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</row>
    <row r="322" spans="1:17">
      <c r="A322" s="47"/>
      <c r="B322" s="48"/>
      <c r="C322" s="48"/>
      <c r="D322" s="43"/>
      <c r="E322" s="173"/>
      <c r="F322" s="4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</row>
    <row r="323" spans="1:17">
      <c r="A323" s="47"/>
      <c r="B323" s="48"/>
      <c r="C323" s="48"/>
      <c r="D323" s="43"/>
      <c r="E323" s="173"/>
      <c r="F323" s="4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</row>
    <row r="324" spans="1:17">
      <c r="A324" s="67"/>
      <c r="B324" s="48"/>
      <c r="C324" s="48"/>
      <c r="D324" s="43"/>
      <c r="E324" s="173"/>
      <c r="F324" s="4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</row>
    <row r="325" spans="1:17">
      <c r="A325" s="67"/>
      <c r="B325" s="48"/>
      <c r="C325" s="48"/>
      <c r="D325" s="43"/>
      <c r="E325" s="173"/>
      <c r="F325" s="4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</row>
    <row r="326" spans="1:17">
      <c r="A326" s="47"/>
      <c r="B326" s="48"/>
      <c r="C326" s="48"/>
      <c r="D326" s="43"/>
      <c r="E326" s="173"/>
      <c r="F326" s="4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</row>
    <row r="327" spans="1:17" s="50" customFormat="1">
      <c r="A327" s="57"/>
      <c r="B327" s="51"/>
      <c r="C327" s="51"/>
      <c r="D327" s="52"/>
      <c r="E327" s="203"/>
      <c r="F327" s="52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</row>
    <row r="328" spans="1:17"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</row>
    <row r="329" spans="1:17"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</row>
    <row r="330" spans="1:17">
      <c r="A330" s="50"/>
      <c r="B330" s="50"/>
      <c r="C330" s="50"/>
      <c r="D330" s="50"/>
      <c r="E330" s="211"/>
      <c r="F330" s="50"/>
      <c r="G330" s="59"/>
      <c r="H330" s="53"/>
      <c r="I330" s="53"/>
      <c r="J330" s="53"/>
      <c r="K330" s="53"/>
      <c r="L330" s="53"/>
      <c r="M330" s="53"/>
      <c r="N330" s="53"/>
      <c r="O330" s="53"/>
      <c r="P330" s="53"/>
      <c r="Q330" s="53"/>
    </row>
    <row r="331" spans="1:17">
      <c r="A331" s="50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</row>
    <row r="332" spans="1:17">
      <c r="B332" s="48"/>
      <c r="C332" s="48"/>
      <c r="D332" s="43"/>
      <c r="E332" s="173"/>
      <c r="F332" s="4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</row>
    <row r="333" spans="1:17">
      <c r="A333" s="47"/>
      <c r="B333" s="48"/>
      <c r="C333" s="48"/>
      <c r="D333" s="43"/>
      <c r="E333" s="173"/>
      <c r="F333" s="4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</row>
    <row r="334" spans="1:17">
      <c r="A334" s="47"/>
      <c r="B334" s="48"/>
      <c r="C334" s="48"/>
      <c r="D334" s="43"/>
      <c r="E334" s="173"/>
      <c r="F334" s="4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</row>
    <row r="335" spans="1:17">
      <c r="A335" s="47"/>
      <c r="B335" s="48"/>
      <c r="C335" s="48"/>
      <c r="D335" s="43"/>
      <c r="E335" s="173"/>
      <c r="F335" s="4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</row>
    <row r="336" spans="1:17">
      <c r="A336" s="67"/>
      <c r="B336" s="48"/>
      <c r="C336" s="48"/>
      <c r="D336" s="43"/>
      <c r="E336" s="173"/>
      <c r="F336" s="4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</row>
    <row r="337" spans="1:17">
      <c r="A337" s="67"/>
      <c r="B337" s="48"/>
      <c r="C337" s="48"/>
      <c r="D337" s="43"/>
      <c r="E337" s="173"/>
      <c r="F337" s="4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</row>
    <row r="338" spans="1:17">
      <c r="A338" s="47"/>
      <c r="B338" s="48"/>
      <c r="C338" s="48"/>
      <c r="D338" s="43"/>
      <c r="E338" s="173"/>
      <c r="F338" s="4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</row>
    <row r="339" spans="1:17" s="50" customFormat="1">
      <c r="A339" s="57"/>
      <c r="B339" s="51"/>
      <c r="C339" s="51"/>
      <c r="D339" s="52"/>
      <c r="E339" s="203"/>
      <c r="F339" s="52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</row>
    <row r="340" spans="1:17">
      <c r="A340" s="50"/>
      <c r="B340" s="50"/>
      <c r="C340" s="50"/>
      <c r="D340" s="50"/>
      <c r="E340" s="211"/>
      <c r="F340" s="50"/>
      <c r="G340" s="59"/>
      <c r="H340" s="53"/>
      <c r="I340" s="53"/>
      <c r="J340" s="53"/>
      <c r="K340" s="53"/>
      <c r="L340" s="53"/>
      <c r="M340" s="53"/>
      <c r="N340" s="53"/>
      <c r="O340" s="53"/>
      <c r="P340" s="53"/>
      <c r="Q340" s="53"/>
    </row>
    <row r="341" spans="1:17"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</row>
    <row r="342" spans="1:17">
      <c r="A342" s="50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</row>
    <row r="343" spans="1:17"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</row>
    <row r="344" spans="1:17">
      <c r="B344" s="48"/>
      <c r="C344" s="48"/>
      <c r="D344" s="43"/>
      <c r="E344" s="173"/>
      <c r="F344" s="4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</row>
    <row r="345" spans="1:17">
      <c r="A345" s="47"/>
      <c r="B345" s="48"/>
      <c r="C345" s="48"/>
      <c r="D345" s="43"/>
      <c r="E345" s="173"/>
      <c r="F345" s="4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</row>
    <row r="346" spans="1:17">
      <c r="A346" s="47"/>
      <c r="B346" s="48"/>
      <c r="C346" s="48"/>
      <c r="D346" s="43"/>
      <c r="E346" s="173"/>
      <c r="F346" s="4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</row>
    <row r="347" spans="1:17">
      <c r="A347" s="47"/>
      <c r="B347" s="48"/>
      <c r="C347" s="48"/>
      <c r="D347" s="43"/>
      <c r="E347" s="173"/>
      <c r="F347" s="4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</row>
    <row r="348" spans="1:17">
      <c r="A348" s="67"/>
      <c r="B348" s="48"/>
      <c r="C348" s="48"/>
      <c r="D348" s="43"/>
      <c r="E348" s="173"/>
      <c r="F348" s="4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</row>
    <row r="349" spans="1:17">
      <c r="A349" s="67"/>
      <c r="B349" s="48"/>
      <c r="C349" s="48"/>
      <c r="D349" s="43"/>
      <c r="E349" s="173"/>
      <c r="F349" s="4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</row>
    <row r="350" spans="1:17">
      <c r="A350" s="47"/>
      <c r="B350" s="48"/>
      <c r="C350" s="48"/>
      <c r="D350" s="43"/>
      <c r="E350" s="173"/>
      <c r="F350" s="4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</row>
    <row r="351" spans="1:17" s="50" customFormat="1">
      <c r="A351" s="57"/>
      <c r="B351" s="51"/>
      <c r="C351" s="51"/>
      <c r="D351" s="52"/>
      <c r="E351" s="203"/>
      <c r="F351" s="52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</row>
    <row r="352" spans="1:17">
      <c r="A352" s="83"/>
      <c r="B352" s="84"/>
      <c r="C352" s="84"/>
      <c r="D352" s="84"/>
      <c r="E352" s="210"/>
      <c r="F352" s="84"/>
      <c r="G352" s="59"/>
      <c r="H352" s="53"/>
      <c r="I352" s="53"/>
      <c r="J352" s="53"/>
      <c r="K352" s="53"/>
      <c r="L352" s="53"/>
      <c r="M352" s="53"/>
      <c r="N352" s="53"/>
      <c r="O352" s="53"/>
      <c r="P352" s="53"/>
      <c r="Q352" s="53"/>
    </row>
    <row r="353" spans="1:17"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</row>
    <row r="354" spans="1:17">
      <c r="A354" s="50"/>
      <c r="B354" s="50"/>
      <c r="C354" s="50"/>
      <c r="D354" s="50"/>
      <c r="E354" s="211"/>
      <c r="F354" s="50"/>
      <c r="G354" s="59"/>
      <c r="H354" s="53"/>
      <c r="I354" s="53"/>
      <c r="J354" s="53"/>
      <c r="K354" s="53"/>
      <c r="L354" s="53"/>
      <c r="M354" s="53"/>
      <c r="N354" s="53"/>
      <c r="O354" s="53"/>
      <c r="P354" s="53"/>
      <c r="Q354" s="53"/>
    </row>
    <row r="355" spans="1:17"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</row>
    <row r="356" spans="1:17">
      <c r="B356" s="48"/>
      <c r="C356" s="48"/>
      <c r="D356" s="43"/>
      <c r="E356" s="173"/>
      <c r="F356" s="4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</row>
    <row r="357" spans="1:17">
      <c r="A357" s="47"/>
      <c r="B357" s="48"/>
      <c r="C357" s="48"/>
      <c r="D357" s="43"/>
      <c r="E357" s="173"/>
      <c r="F357" s="4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</row>
    <row r="358" spans="1:17">
      <c r="A358" s="47"/>
      <c r="B358" s="48"/>
      <c r="C358" s="48"/>
      <c r="D358" s="43"/>
      <c r="E358" s="173"/>
      <c r="F358" s="4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</row>
    <row r="359" spans="1:17">
      <c r="A359" s="47"/>
      <c r="B359" s="48"/>
      <c r="C359" s="48"/>
      <c r="D359" s="43"/>
      <c r="E359" s="173"/>
      <c r="F359" s="4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</row>
    <row r="360" spans="1:17">
      <c r="A360" s="67"/>
      <c r="B360" s="48"/>
      <c r="C360" s="48"/>
      <c r="D360" s="43"/>
      <c r="E360" s="173"/>
      <c r="F360" s="4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</row>
    <row r="361" spans="1:17">
      <c r="A361" s="67"/>
      <c r="B361" s="48"/>
      <c r="C361" s="48"/>
      <c r="D361" s="43"/>
      <c r="E361" s="173"/>
      <c r="F361" s="4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</row>
    <row r="362" spans="1:17">
      <c r="A362" s="47"/>
      <c r="B362" s="48"/>
      <c r="C362" s="48"/>
      <c r="D362" s="43"/>
      <c r="E362" s="173"/>
      <c r="F362" s="4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</row>
    <row r="363" spans="1:17" s="50" customFormat="1">
      <c r="B363" s="51"/>
      <c r="C363" s="51"/>
      <c r="D363" s="52"/>
      <c r="E363" s="203"/>
      <c r="F363" s="52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</row>
    <row r="364" spans="1:17"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</row>
    <row r="365" spans="1:17"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</row>
    <row r="366" spans="1:17">
      <c r="A366" s="50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</row>
    <row r="367" spans="1:17">
      <c r="A367" s="83"/>
      <c r="B367" s="85"/>
      <c r="C367" s="85"/>
      <c r="D367" s="85"/>
      <c r="E367" s="212"/>
      <c r="F367" s="85"/>
      <c r="G367" s="86"/>
      <c r="H367" s="53"/>
      <c r="I367" s="53"/>
      <c r="J367" s="53"/>
      <c r="K367" s="53"/>
      <c r="L367" s="53"/>
      <c r="M367" s="53"/>
      <c r="N367" s="53"/>
      <c r="O367" s="53"/>
      <c r="P367" s="53"/>
      <c r="Q367" s="53"/>
    </row>
    <row r="368" spans="1:17">
      <c r="B368" s="48"/>
      <c r="C368" s="48"/>
      <c r="D368" s="43"/>
      <c r="E368" s="173"/>
      <c r="F368" s="4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</row>
    <row r="369" spans="1:17">
      <c r="A369" s="47"/>
      <c r="B369" s="48"/>
      <c r="C369" s="48"/>
      <c r="D369" s="43"/>
      <c r="E369" s="173"/>
      <c r="F369" s="4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</row>
    <row r="370" spans="1:17">
      <c r="A370" s="47"/>
      <c r="B370" s="48"/>
      <c r="C370" s="48"/>
      <c r="D370" s="43"/>
      <c r="E370" s="173"/>
      <c r="F370" s="4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</row>
    <row r="371" spans="1:17">
      <c r="A371" s="47"/>
      <c r="B371" s="48"/>
      <c r="C371" s="48"/>
      <c r="D371" s="43"/>
      <c r="E371" s="173"/>
      <c r="F371" s="4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</row>
    <row r="372" spans="1:17">
      <c r="A372" s="67"/>
      <c r="B372" s="48"/>
      <c r="C372" s="48"/>
      <c r="D372" s="43"/>
      <c r="E372" s="173"/>
      <c r="F372" s="4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</row>
    <row r="373" spans="1:17">
      <c r="A373" s="67"/>
      <c r="B373" s="48"/>
      <c r="C373" s="48"/>
      <c r="D373" s="43"/>
      <c r="E373" s="173"/>
      <c r="F373" s="4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</row>
    <row r="374" spans="1:17">
      <c r="A374" s="47"/>
      <c r="B374" s="48"/>
      <c r="C374" s="48"/>
      <c r="D374" s="43"/>
      <c r="E374" s="173"/>
      <c r="F374" s="4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</row>
    <row r="375" spans="1:17" s="50" customFormat="1">
      <c r="B375" s="51"/>
      <c r="C375" s="51"/>
      <c r="D375" s="52"/>
      <c r="E375" s="203"/>
      <c r="F375" s="52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</row>
    <row r="376" spans="1:17"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</row>
    <row r="377" spans="1:17"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</row>
    <row r="378" spans="1:17">
      <c r="A378" s="50"/>
      <c r="B378" s="84"/>
      <c r="C378" s="84"/>
      <c r="D378" s="84"/>
      <c r="E378" s="210"/>
      <c r="F378" s="84"/>
      <c r="G378" s="59"/>
      <c r="H378" s="53"/>
      <c r="I378" s="53"/>
      <c r="J378" s="53"/>
      <c r="K378" s="53"/>
      <c r="L378" s="53"/>
      <c r="M378" s="53"/>
      <c r="N378" s="53"/>
      <c r="O378" s="53"/>
      <c r="P378" s="53"/>
      <c r="Q378" s="53"/>
    </row>
    <row r="379" spans="1:17"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</row>
    <row r="380" spans="1:17">
      <c r="B380" s="48"/>
      <c r="C380" s="48"/>
      <c r="D380" s="43"/>
      <c r="E380" s="173"/>
      <c r="F380" s="4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</row>
    <row r="381" spans="1:17">
      <c r="A381" s="47"/>
      <c r="B381" s="48"/>
      <c r="C381" s="48"/>
      <c r="D381" s="43"/>
      <c r="E381" s="173"/>
      <c r="F381" s="4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</row>
    <row r="382" spans="1:17">
      <c r="A382" s="47"/>
      <c r="B382" s="48"/>
      <c r="C382" s="48"/>
      <c r="D382" s="43"/>
      <c r="E382" s="173"/>
      <c r="F382" s="4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</row>
    <row r="383" spans="1:17">
      <c r="A383" s="47"/>
      <c r="B383" s="48"/>
      <c r="C383" s="48"/>
      <c r="D383" s="43"/>
      <c r="E383" s="173"/>
      <c r="F383" s="4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</row>
    <row r="384" spans="1:17">
      <c r="A384" s="67"/>
      <c r="B384" s="48"/>
      <c r="C384" s="48"/>
      <c r="D384" s="43"/>
      <c r="E384" s="173"/>
      <c r="F384" s="4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</row>
    <row r="385" spans="1:17">
      <c r="A385" s="67"/>
      <c r="B385" s="48"/>
      <c r="C385" s="48"/>
      <c r="D385" s="43"/>
      <c r="E385" s="173"/>
      <c r="F385" s="4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</row>
    <row r="386" spans="1:17">
      <c r="A386" s="47"/>
      <c r="B386" s="48"/>
      <c r="C386" s="48"/>
      <c r="D386" s="43"/>
      <c r="E386" s="173"/>
      <c r="F386" s="4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</row>
    <row r="387" spans="1:17" s="50" customFormat="1">
      <c r="B387" s="51"/>
      <c r="C387" s="51"/>
      <c r="D387" s="52"/>
      <c r="E387" s="203"/>
      <c r="F387" s="52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</row>
    <row r="388" spans="1:17"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</row>
    <row r="389" spans="1:17"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</row>
    <row r="390" spans="1:17">
      <c r="A390" s="50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</row>
    <row r="391" spans="1:17"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</row>
    <row r="392" spans="1:17">
      <c r="B392" s="48"/>
      <c r="C392" s="48"/>
      <c r="D392" s="43"/>
      <c r="E392" s="173"/>
      <c r="F392" s="4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</row>
    <row r="393" spans="1:17">
      <c r="A393" s="47"/>
      <c r="B393" s="48"/>
      <c r="C393" s="48"/>
      <c r="D393" s="43"/>
      <c r="E393" s="173"/>
      <c r="F393" s="4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</row>
    <row r="394" spans="1:17">
      <c r="A394" s="47"/>
      <c r="B394" s="48"/>
      <c r="C394" s="48"/>
      <c r="D394" s="43"/>
      <c r="E394" s="173"/>
      <c r="F394" s="4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</row>
    <row r="395" spans="1:17">
      <c r="A395" s="47"/>
      <c r="B395" s="48"/>
      <c r="C395" s="48"/>
      <c r="D395" s="43"/>
      <c r="E395" s="173"/>
      <c r="F395" s="4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</row>
    <row r="396" spans="1:17">
      <c r="A396" s="67"/>
      <c r="B396" s="48"/>
      <c r="C396" s="48"/>
      <c r="D396" s="43"/>
      <c r="E396" s="173"/>
      <c r="F396" s="4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</row>
    <row r="397" spans="1:17">
      <c r="A397" s="67"/>
      <c r="B397" s="48"/>
      <c r="C397" s="48"/>
      <c r="D397" s="43"/>
      <c r="E397" s="173"/>
      <c r="F397" s="4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</row>
    <row r="398" spans="1:17">
      <c r="A398" s="47"/>
      <c r="B398" s="48"/>
      <c r="C398" s="48"/>
      <c r="D398" s="43"/>
      <c r="E398" s="173"/>
      <c r="F398" s="4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</row>
    <row r="399" spans="1:17" s="50" customFormat="1">
      <c r="B399" s="51"/>
      <c r="C399" s="51"/>
      <c r="D399" s="52"/>
      <c r="E399" s="203"/>
      <c r="F399" s="52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</row>
    <row r="400" spans="1:17"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</row>
    <row r="401" spans="1:17">
      <c r="A401" s="50"/>
      <c r="B401" s="50"/>
      <c r="C401" s="50"/>
      <c r="D401" s="50"/>
      <c r="E401" s="211"/>
      <c r="F401" s="50"/>
      <c r="G401" s="59"/>
      <c r="H401" s="53"/>
      <c r="I401" s="53"/>
      <c r="J401" s="53"/>
      <c r="K401" s="53"/>
      <c r="L401" s="53"/>
      <c r="M401" s="53"/>
      <c r="N401" s="53"/>
      <c r="O401" s="53"/>
      <c r="P401" s="53"/>
      <c r="Q401" s="53"/>
    </row>
    <row r="402" spans="1:17">
      <c r="A402" s="50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</row>
    <row r="403" spans="1:17"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</row>
    <row r="404" spans="1:17">
      <c r="B404" s="48"/>
      <c r="C404" s="48"/>
      <c r="D404" s="43"/>
      <c r="E404" s="173"/>
      <c r="F404" s="4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</row>
    <row r="405" spans="1:17">
      <c r="A405" s="47"/>
      <c r="B405" s="48"/>
      <c r="C405" s="48"/>
      <c r="D405" s="43"/>
      <c r="E405" s="173"/>
      <c r="F405" s="4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</row>
    <row r="406" spans="1:17">
      <c r="A406" s="47"/>
      <c r="B406" s="48"/>
      <c r="C406" s="48"/>
      <c r="D406" s="43"/>
      <c r="E406" s="173"/>
      <c r="F406" s="4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</row>
    <row r="407" spans="1:17">
      <c r="A407" s="47"/>
      <c r="B407" s="48"/>
      <c r="C407" s="48"/>
      <c r="D407" s="43"/>
      <c r="E407" s="173"/>
      <c r="F407" s="4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</row>
    <row r="408" spans="1:17">
      <c r="A408" s="67"/>
      <c r="B408" s="48"/>
      <c r="C408" s="48"/>
      <c r="D408" s="43"/>
      <c r="E408" s="173"/>
      <c r="F408" s="4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</row>
    <row r="409" spans="1:17">
      <c r="A409" s="67"/>
      <c r="B409" s="48"/>
      <c r="C409" s="48"/>
      <c r="D409" s="43"/>
      <c r="E409" s="173"/>
      <c r="F409" s="4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</row>
    <row r="410" spans="1:17">
      <c r="A410" s="47"/>
      <c r="B410" s="48"/>
      <c r="C410" s="48"/>
      <c r="D410" s="43"/>
      <c r="E410" s="173"/>
      <c r="F410" s="4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</row>
    <row r="411" spans="1:17" s="50" customFormat="1">
      <c r="B411" s="51"/>
      <c r="C411" s="51"/>
      <c r="D411" s="52"/>
      <c r="E411" s="203"/>
      <c r="F411" s="52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</row>
    <row r="412" spans="1:17">
      <c r="A412" s="50"/>
      <c r="B412" s="50"/>
      <c r="C412" s="50"/>
      <c r="D412" s="50"/>
      <c r="E412" s="211"/>
      <c r="F412" s="50"/>
      <c r="G412" s="59"/>
      <c r="H412" s="53"/>
      <c r="I412" s="53"/>
      <c r="J412" s="53"/>
      <c r="K412" s="53"/>
      <c r="L412" s="53"/>
      <c r="M412" s="53"/>
      <c r="N412" s="53"/>
      <c r="O412" s="53"/>
      <c r="P412" s="53"/>
      <c r="Q412" s="53"/>
    </row>
    <row r="413" spans="1:17"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</row>
    <row r="414" spans="1:17">
      <c r="A414" s="50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</row>
    <row r="415" spans="1:17"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</row>
    <row r="416" spans="1:17">
      <c r="B416" s="48"/>
      <c r="C416" s="48"/>
      <c r="D416" s="43"/>
      <c r="E416" s="173"/>
      <c r="F416" s="4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</row>
    <row r="417" spans="1:17">
      <c r="A417" s="47"/>
      <c r="B417" s="48"/>
      <c r="C417" s="48"/>
      <c r="D417" s="43"/>
      <c r="E417" s="173"/>
      <c r="F417" s="4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</row>
    <row r="418" spans="1:17">
      <c r="A418" s="47"/>
      <c r="B418" s="48"/>
      <c r="C418" s="48"/>
      <c r="D418" s="43"/>
      <c r="E418" s="173"/>
      <c r="F418" s="4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</row>
    <row r="419" spans="1:17">
      <c r="A419" s="47"/>
      <c r="B419" s="48"/>
      <c r="C419" s="48"/>
      <c r="D419" s="43"/>
      <c r="E419" s="173"/>
      <c r="F419" s="4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</row>
    <row r="420" spans="1:17">
      <c r="A420" s="67"/>
      <c r="B420" s="48"/>
      <c r="C420" s="48"/>
      <c r="D420" s="43"/>
      <c r="E420" s="173"/>
      <c r="F420" s="4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</row>
    <row r="421" spans="1:17">
      <c r="A421" s="67"/>
      <c r="B421" s="48"/>
      <c r="C421" s="48"/>
      <c r="D421" s="43"/>
      <c r="E421" s="173"/>
      <c r="F421" s="4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</row>
    <row r="422" spans="1:17">
      <c r="A422" s="47"/>
      <c r="B422" s="48"/>
      <c r="C422" s="48"/>
      <c r="D422" s="43"/>
      <c r="E422" s="173"/>
      <c r="F422" s="4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</row>
    <row r="423" spans="1:17" s="50" customFormat="1">
      <c r="B423" s="51"/>
      <c r="C423" s="51"/>
      <c r="D423" s="52"/>
      <c r="E423" s="203"/>
      <c r="F423" s="52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</row>
    <row r="424" spans="1:17"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</row>
    <row r="425" spans="1:17">
      <c r="A425" s="83"/>
      <c r="B425" s="84"/>
      <c r="C425" s="84"/>
      <c r="D425" s="84"/>
      <c r="E425" s="210"/>
      <c r="F425" s="84"/>
      <c r="G425" s="59"/>
      <c r="H425" s="53"/>
      <c r="I425" s="53"/>
      <c r="J425" s="53"/>
      <c r="K425" s="53"/>
      <c r="L425" s="53"/>
      <c r="M425" s="53"/>
      <c r="N425" s="53"/>
      <c r="O425" s="53"/>
      <c r="P425" s="53"/>
      <c r="Q425" s="53"/>
    </row>
    <row r="426" spans="1:17">
      <c r="A426" s="50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</row>
    <row r="427" spans="1:17">
      <c r="A427" s="50"/>
      <c r="B427" s="50"/>
      <c r="C427" s="50"/>
      <c r="D427" s="50"/>
      <c r="E427" s="211"/>
      <c r="F427" s="50"/>
      <c r="G427" s="59"/>
      <c r="H427" s="53"/>
      <c r="I427" s="53"/>
      <c r="J427" s="53"/>
      <c r="K427" s="53"/>
      <c r="L427" s="53"/>
      <c r="M427" s="53"/>
      <c r="N427" s="53"/>
      <c r="O427" s="53"/>
      <c r="P427" s="53"/>
      <c r="Q427" s="53"/>
    </row>
    <row r="428" spans="1:17">
      <c r="B428" s="48"/>
      <c r="C428" s="48"/>
      <c r="D428" s="43"/>
      <c r="E428" s="173"/>
      <c r="F428" s="4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</row>
    <row r="429" spans="1:17">
      <c r="A429" s="47"/>
      <c r="B429" s="48"/>
      <c r="C429" s="48"/>
      <c r="D429" s="43"/>
      <c r="E429" s="173"/>
      <c r="F429" s="4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</row>
    <row r="430" spans="1:17">
      <c r="A430" s="47"/>
      <c r="B430" s="48"/>
      <c r="C430" s="48"/>
      <c r="D430" s="43"/>
      <c r="E430" s="173"/>
      <c r="F430" s="4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</row>
    <row r="431" spans="1:17">
      <c r="A431" s="47"/>
      <c r="B431" s="48"/>
      <c r="C431" s="48"/>
      <c r="D431" s="43"/>
      <c r="E431" s="173"/>
      <c r="F431" s="4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</row>
    <row r="432" spans="1:17">
      <c r="A432" s="67"/>
      <c r="B432" s="48"/>
      <c r="C432" s="48"/>
      <c r="D432" s="43"/>
      <c r="E432" s="173"/>
      <c r="F432" s="4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</row>
    <row r="433" spans="1:17">
      <c r="A433" s="67"/>
      <c r="B433" s="48"/>
      <c r="C433" s="48"/>
      <c r="D433" s="43"/>
      <c r="E433" s="173"/>
      <c r="F433" s="4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</row>
    <row r="434" spans="1:17">
      <c r="A434" s="47"/>
      <c r="B434" s="48"/>
      <c r="C434" s="48"/>
      <c r="D434" s="43"/>
      <c r="E434" s="173"/>
      <c r="F434" s="4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</row>
    <row r="435" spans="1:17" s="50" customFormat="1">
      <c r="B435" s="51"/>
      <c r="C435" s="51"/>
      <c r="D435" s="52"/>
      <c r="E435" s="203"/>
      <c r="F435" s="52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</row>
    <row r="436" spans="1:17"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</row>
    <row r="437" spans="1:17"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</row>
    <row r="438" spans="1:17">
      <c r="A438" s="50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</row>
    <row r="439" spans="1:17">
      <c r="A439" s="83"/>
      <c r="B439" s="84"/>
      <c r="C439" s="84"/>
      <c r="D439" s="84"/>
      <c r="E439" s="210"/>
      <c r="F439" s="84"/>
      <c r="G439" s="59"/>
      <c r="H439" s="53"/>
      <c r="I439" s="53"/>
      <c r="J439" s="53"/>
      <c r="K439" s="53"/>
      <c r="L439" s="53"/>
      <c r="M439" s="53"/>
      <c r="N439" s="53"/>
      <c r="O439" s="53"/>
      <c r="P439" s="53"/>
      <c r="Q439" s="53"/>
    </row>
    <row r="440" spans="1:17">
      <c r="B440" s="48"/>
      <c r="C440" s="48"/>
      <c r="D440" s="43"/>
      <c r="E440" s="173"/>
      <c r="F440" s="4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</row>
    <row r="441" spans="1:17">
      <c r="A441" s="47"/>
      <c r="B441" s="48"/>
      <c r="C441" s="48"/>
      <c r="D441" s="43"/>
      <c r="E441" s="173"/>
      <c r="F441" s="4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</row>
    <row r="442" spans="1:17">
      <c r="A442" s="47"/>
      <c r="B442" s="48"/>
      <c r="C442" s="48"/>
      <c r="D442" s="43"/>
      <c r="E442" s="173"/>
      <c r="F442" s="4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</row>
    <row r="443" spans="1:17">
      <c r="A443" s="47"/>
      <c r="B443" s="48"/>
      <c r="C443" s="48"/>
      <c r="D443" s="43"/>
      <c r="E443" s="173"/>
      <c r="F443" s="4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</row>
    <row r="444" spans="1:17">
      <c r="A444" s="67"/>
      <c r="B444" s="48"/>
      <c r="C444" s="48"/>
      <c r="D444" s="43"/>
      <c r="E444" s="173"/>
      <c r="F444" s="4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</row>
    <row r="445" spans="1:17">
      <c r="A445" s="67"/>
      <c r="B445" s="48"/>
      <c r="C445" s="48"/>
      <c r="D445" s="43"/>
      <c r="E445" s="173"/>
      <c r="F445" s="4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</row>
    <row r="446" spans="1:17">
      <c r="A446" s="47"/>
      <c r="B446" s="48"/>
      <c r="C446" s="48"/>
      <c r="D446" s="43"/>
      <c r="E446" s="173"/>
      <c r="F446" s="4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</row>
    <row r="447" spans="1:17" s="50" customFormat="1">
      <c r="B447" s="51"/>
      <c r="C447" s="51"/>
      <c r="D447" s="52"/>
      <c r="E447" s="203"/>
      <c r="F447" s="52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</row>
    <row r="448" spans="1:17"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</row>
    <row r="449" spans="1:17"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</row>
    <row r="450" spans="1:17">
      <c r="A450" s="50"/>
      <c r="B450" s="50"/>
      <c r="C450" s="50"/>
      <c r="D450" s="50"/>
      <c r="E450" s="211"/>
      <c r="F450" s="50"/>
      <c r="G450" s="59"/>
      <c r="H450" s="53"/>
      <c r="I450" s="53"/>
      <c r="J450" s="53"/>
      <c r="K450" s="53"/>
      <c r="L450" s="53"/>
      <c r="M450" s="53"/>
      <c r="N450" s="53"/>
      <c r="O450" s="53"/>
      <c r="P450" s="53"/>
      <c r="Q450" s="53"/>
    </row>
    <row r="451" spans="1:17">
      <c r="A451" s="50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</row>
    <row r="452" spans="1:17">
      <c r="B452" s="48"/>
      <c r="C452" s="48"/>
      <c r="D452" s="43"/>
      <c r="E452" s="173"/>
      <c r="F452" s="4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</row>
    <row r="453" spans="1:17">
      <c r="A453" s="47"/>
      <c r="B453" s="48"/>
      <c r="C453" s="48"/>
      <c r="D453" s="43"/>
      <c r="E453" s="173"/>
      <c r="F453" s="4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</row>
    <row r="454" spans="1:17">
      <c r="A454" s="47"/>
      <c r="B454" s="48"/>
      <c r="C454" s="48"/>
      <c r="D454" s="43"/>
      <c r="E454" s="173"/>
      <c r="F454" s="4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</row>
    <row r="455" spans="1:17">
      <c r="A455" s="47"/>
      <c r="B455" s="48"/>
      <c r="C455" s="48"/>
      <c r="D455" s="43"/>
      <c r="E455" s="173"/>
      <c r="F455" s="4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</row>
    <row r="456" spans="1:17">
      <c r="A456" s="67"/>
      <c r="B456" s="48"/>
      <c r="C456" s="48"/>
      <c r="D456" s="43"/>
      <c r="E456" s="173"/>
      <c r="F456" s="4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</row>
    <row r="457" spans="1:17">
      <c r="A457" s="67"/>
      <c r="B457" s="48"/>
      <c r="C457" s="48"/>
      <c r="D457" s="43"/>
      <c r="E457" s="173"/>
      <c r="F457" s="4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</row>
    <row r="458" spans="1:17">
      <c r="A458" s="47"/>
      <c r="B458" s="48"/>
      <c r="C458" s="48"/>
      <c r="D458" s="43"/>
      <c r="E458" s="173"/>
      <c r="F458" s="4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</row>
    <row r="459" spans="1:17" s="50" customFormat="1">
      <c r="B459" s="51"/>
      <c r="C459" s="51"/>
      <c r="D459" s="52"/>
      <c r="E459" s="203"/>
      <c r="F459" s="52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</row>
    <row r="460" spans="1:17">
      <c r="A460" s="50"/>
      <c r="B460" s="50"/>
      <c r="C460" s="50"/>
      <c r="D460" s="50"/>
      <c r="E460" s="211"/>
      <c r="F460" s="50"/>
      <c r="G460" s="59"/>
      <c r="H460" s="53"/>
      <c r="I460" s="53"/>
      <c r="J460" s="53"/>
      <c r="K460" s="53"/>
      <c r="L460" s="53"/>
      <c r="M460" s="53"/>
      <c r="N460" s="53"/>
      <c r="O460" s="53"/>
      <c r="P460" s="53"/>
      <c r="Q460" s="53"/>
    </row>
    <row r="461" spans="1:17"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</row>
    <row r="462" spans="1:17">
      <c r="A462" s="50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</row>
    <row r="463" spans="1:17"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</row>
    <row r="464" spans="1:17">
      <c r="B464" s="48"/>
      <c r="C464" s="48"/>
      <c r="D464" s="43"/>
      <c r="E464" s="173"/>
      <c r="F464" s="4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</row>
    <row r="465" spans="1:17">
      <c r="A465" s="47"/>
      <c r="B465" s="48"/>
      <c r="C465" s="48"/>
      <c r="D465" s="43"/>
      <c r="E465" s="173"/>
      <c r="F465" s="4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</row>
    <row r="466" spans="1:17">
      <c r="A466" s="47"/>
      <c r="B466" s="48"/>
      <c r="C466" s="48"/>
      <c r="D466" s="43"/>
      <c r="E466" s="173"/>
      <c r="F466" s="4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</row>
    <row r="467" spans="1:17">
      <c r="A467" s="47"/>
      <c r="B467" s="48"/>
      <c r="C467" s="48"/>
      <c r="D467" s="43"/>
      <c r="E467" s="173"/>
      <c r="F467" s="4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</row>
    <row r="468" spans="1:17">
      <c r="A468" s="67"/>
      <c r="B468" s="48"/>
      <c r="C468" s="48"/>
      <c r="D468" s="43"/>
      <c r="E468" s="173"/>
      <c r="F468" s="4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</row>
    <row r="469" spans="1:17">
      <c r="A469" s="67"/>
      <c r="B469" s="48"/>
      <c r="C469" s="48"/>
      <c r="D469" s="43"/>
      <c r="E469" s="173"/>
      <c r="F469" s="4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</row>
    <row r="470" spans="1:17">
      <c r="A470" s="47"/>
      <c r="B470" s="48"/>
      <c r="C470" s="48"/>
      <c r="D470" s="43"/>
      <c r="E470" s="173"/>
      <c r="F470" s="4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</row>
    <row r="471" spans="1:17" s="50" customFormat="1">
      <c r="B471" s="51"/>
      <c r="C471" s="51"/>
      <c r="D471" s="52"/>
      <c r="E471" s="203"/>
      <c r="F471" s="52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</row>
    <row r="472" spans="1:17">
      <c r="A472" s="83"/>
      <c r="B472" s="84"/>
      <c r="C472" s="84"/>
      <c r="D472" s="84"/>
      <c r="E472" s="210"/>
      <c r="F472" s="84"/>
      <c r="G472" s="59"/>
      <c r="H472" s="53"/>
      <c r="I472" s="53"/>
      <c r="J472" s="53"/>
      <c r="K472" s="53"/>
      <c r="L472" s="53"/>
      <c r="M472" s="53"/>
      <c r="N472" s="53"/>
      <c r="O472" s="53"/>
      <c r="P472" s="53"/>
      <c r="Q472" s="53"/>
    </row>
    <row r="473" spans="1:17"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</row>
    <row r="474" spans="1:17">
      <c r="A474" s="50"/>
      <c r="B474" s="50"/>
      <c r="C474" s="50"/>
      <c r="D474" s="50"/>
      <c r="E474" s="211"/>
      <c r="F474" s="50"/>
      <c r="G474" s="59"/>
      <c r="H474" s="53"/>
      <c r="I474" s="53"/>
      <c r="J474" s="53"/>
      <c r="K474" s="53"/>
      <c r="L474" s="53"/>
      <c r="M474" s="53"/>
      <c r="N474" s="53"/>
      <c r="O474" s="53"/>
      <c r="P474" s="53"/>
      <c r="Q474" s="53"/>
    </row>
    <row r="475" spans="1:17"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</row>
    <row r="476" spans="1:17">
      <c r="B476" s="48"/>
      <c r="C476" s="48"/>
      <c r="D476" s="43"/>
      <c r="E476" s="173"/>
      <c r="F476" s="4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</row>
    <row r="477" spans="1:17">
      <c r="A477" s="47"/>
      <c r="B477" s="48"/>
      <c r="C477" s="48"/>
      <c r="D477" s="43"/>
      <c r="E477" s="173"/>
      <c r="F477" s="4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</row>
    <row r="478" spans="1:17">
      <c r="A478" s="47"/>
      <c r="B478" s="48"/>
      <c r="C478" s="48"/>
      <c r="D478" s="43"/>
      <c r="E478" s="173"/>
      <c r="F478" s="4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</row>
    <row r="479" spans="1:17">
      <c r="A479" s="47"/>
      <c r="B479" s="48"/>
      <c r="C479" s="48"/>
      <c r="D479" s="43"/>
      <c r="E479" s="173"/>
      <c r="F479" s="4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</row>
    <row r="480" spans="1:17">
      <c r="A480" s="67"/>
      <c r="B480" s="48"/>
      <c r="C480" s="48"/>
      <c r="D480" s="43"/>
      <c r="E480" s="173"/>
      <c r="F480" s="4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</row>
    <row r="481" spans="1:17">
      <c r="A481" s="67"/>
      <c r="B481" s="48"/>
      <c r="C481" s="48"/>
      <c r="D481" s="43"/>
      <c r="E481" s="173"/>
      <c r="F481" s="4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</row>
    <row r="482" spans="1:17">
      <c r="A482" s="47"/>
      <c r="B482" s="48"/>
      <c r="C482" s="48"/>
      <c r="D482" s="43"/>
      <c r="E482" s="173"/>
      <c r="F482" s="4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</row>
    <row r="483" spans="1:17" s="50" customFormat="1">
      <c r="B483" s="51"/>
      <c r="C483" s="51"/>
      <c r="D483" s="52"/>
      <c r="E483" s="203"/>
      <c r="F483" s="52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</row>
    <row r="485" spans="1:17">
      <c r="A485" s="50"/>
      <c r="B485" s="50"/>
      <c r="C485" s="50"/>
      <c r="D485" s="50"/>
      <c r="E485" s="211"/>
      <c r="F485" s="50"/>
      <c r="G485" s="50"/>
    </row>
    <row r="491" spans="1:17">
      <c r="A491" s="83"/>
      <c r="B491" s="85"/>
      <c r="C491" s="85"/>
      <c r="D491" s="85"/>
      <c r="E491" s="212"/>
      <c r="F491" s="85"/>
      <c r="G491" s="85"/>
    </row>
    <row r="494" spans="1:17">
      <c r="A494" s="50"/>
      <c r="B494" s="50"/>
      <c r="C494" s="50"/>
      <c r="D494" s="50"/>
      <c r="E494" s="211"/>
      <c r="F494" s="50"/>
      <c r="G494" s="50"/>
    </row>
    <row r="495" spans="1:17">
      <c r="A495" s="50"/>
    </row>
    <row r="496" spans="1:17">
      <c r="A496" s="50"/>
      <c r="B496" s="50"/>
      <c r="C496" s="50"/>
      <c r="D496" s="50"/>
      <c r="E496" s="211"/>
      <c r="F496" s="50"/>
      <c r="G496" s="50"/>
    </row>
    <row r="502" spans="1:7">
      <c r="A502" s="50"/>
      <c r="B502" s="84"/>
      <c r="C502" s="84"/>
      <c r="D502" s="84"/>
      <c r="E502" s="210"/>
      <c r="F502" s="84"/>
      <c r="G502" s="84"/>
    </row>
    <row r="504" spans="1:7">
      <c r="A504" s="50"/>
      <c r="B504" s="50"/>
      <c r="C504" s="50"/>
      <c r="D504" s="50"/>
      <c r="E504" s="211"/>
      <c r="F504" s="50"/>
      <c r="G504" s="50"/>
    </row>
    <row r="509" spans="1:7">
      <c r="A509" s="83"/>
      <c r="B509" s="84"/>
      <c r="C509" s="84"/>
      <c r="D509" s="84"/>
      <c r="E509" s="210"/>
      <c r="F509" s="84"/>
      <c r="G509" s="84"/>
    </row>
    <row r="511" spans="1:7">
      <c r="A511" s="50"/>
      <c r="B511" s="50"/>
      <c r="C511" s="50"/>
      <c r="D511" s="50"/>
      <c r="E511" s="211"/>
      <c r="F511" s="50"/>
      <c r="G511" s="50"/>
    </row>
    <row r="516" spans="1:7">
      <c r="A516" s="83"/>
      <c r="B516" s="84"/>
      <c r="C516" s="84"/>
      <c r="D516" s="84"/>
      <c r="E516" s="210"/>
      <c r="F516" s="84"/>
      <c r="G516" s="84"/>
    </row>
    <row r="518" spans="1:7">
      <c r="A518" s="50"/>
      <c r="B518" s="50"/>
      <c r="C518" s="50"/>
      <c r="D518" s="50"/>
      <c r="E518" s="211"/>
      <c r="F518" s="50"/>
      <c r="G518" s="50"/>
    </row>
    <row r="523" spans="1:7">
      <c r="A523" s="83"/>
      <c r="B523" s="84"/>
      <c r="C523" s="84"/>
      <c r="D523" s="84"/>
      <c r="E523" s="210"/>
      <c r="F523" s="84"/>
      <c r="G523" s="84"/>
    </row>
    <row r="525" spans="1:7">
      <c r="A525" s="50"/>
      <c r="B525" s="50"/>
      <c r="C525" s="50"/>
      <c r="D525" s="50"/>
      <c r="E525" s="211"/>
      <c r="F525" s="50"/>
      <c r="G525" s="50"/>
    </row>
    <row r="531" spans="1:7">
      <c r="A531" s="83"/>
      <c r="B531" s="85"/>
      <c r="C531" s="85"/>
      <c r="D531" s="85"/>
      <c r="E531" s="212"/>
      <c r="F531" s="85"/>
      <c r="G531" s="85"/>
    </row>
    <row r="534" spans="1:7">
      <c r="A534" s="50"/>
      <c r="B534" s="50"/>
      <c r="C534" s="50"/>
      <c r="D534" s="50"/>
      <c r="E534" s="211"/>
      <c r="F534" s="50"/>
      <c r="G534" s="50"/>
    </row>
    <row r="535" spans="1:7">
      <c r="A535" s="50"/>
    </row>
    <row r="536" spans="1:7">
      <c r="A536" s="50"/>
      <c r="B536" s="50"/>
      <c r="C536" s="50"/>
      <c r="D536" s="50"/>
      <c r="E536" s="211"/>
      <c r="F536" s="50"/>
      <c r="G536" s="50"/>
    </row>
    <row r="542" spans="1:7">
      <c r="A542" s="50"/>
      <c r="B542" s="84"/>
      <c r="C542" s="84"/>
      <c r="D542" s="84"/>
      <c r="E542" s="210"/>
      <c r="F542" s="84"/>
      <c r="G542" s="84"/>
    </row>
    <row r="544" spans="1:7">
      <c r="A544" s="50"/>
      <c r="B544" s="50"/>
      <c r="C544" s="50"/>
      <c r="D544" s="50"/>
      <c r="E544" s="211"/>
      <c r="F544" s="50"/>
      <c r="G544" s="50"/>
    </row>
    <row r="549" spans="1:7">
      <c r="A549" s="83"/>
      <c r="B549" s="84"/>
      <c r="C549" s="84"/>
      <c r="D549" s="84"/>
      <c r="E549" s="210"/>
      <c r="F549" s="84"/>
      <c r="G549" s="84"/>
    </row>
    <row r="551" spans="1:7">
      <c r="A551" s="50"/>
      <c r="B551" s="50"/>
      <c r="C551" s="50"/>
      <c r="D551" s="50"/>
      <c r="E551" s="211"/>
      <c r="F551" s="50"/>
      <c r="G551" s="50"/>
    </row>
    <row r="556" spans="1:7">
      <c r="A556" s="83"/>
      <c r="B556" s="84"/>
      <c r="C556" s="84"/>
      <c r="D556" s="84"/>
      <c r="E556" s="210"/>
      <c r="F556" s="84"/>
      <c r="G556" s="84"/>
    </row>
    <row r="558" spans="1:7">
      <c r="A558" s="50"/>
      <c r="B558" s="50"/>
      <c r="C558" s="50"/>
      <c r="D558" s="50"/>
      <c r="E558" s="211"/>
      <c r="F558" s="50"/>
      <c r="G558" s="50"/>
    </row>
    <row r="563" spans="1:7">
      <c r="A563" s="83"/>
      <c r="B563" s="84"/>
      <c r="C563" s="84"/>
      <c r="D563" s="84"/>
      <c r="E563" s="210"/>
      <c r="F563" s="84"/>
      <c r="G563" s="84"/>
    </row>
    <row r="565" spans="1:7">
      <c r="A565" s="50"/>
      <c r="B565" s="50"/>
      <c r="C565" s="50"/>
      <c r="D565" s="50"/>
      <c r="E565" s="211"/>
      <c r="F565" s="50"/>
      <c r="G565" s="50"/>
    </row>
    <row r="571" spans="1:7">
      <c r="A571" s="83"/>
      <c r="B571" s="85"/>
      <c r="C571" s="85"/>
      <c r="D571" s="85"/>
      <c r="E571" s="212"/>
      <c r="F571" s="85"/>
      <c r="G571" s="85"/>
    </row>
    <row r="574" spans="1:7">
      <c r="A574" s="50"/>
      <c r="B574" s="50"/>
      <c r="C574" s="50"/>
      <c r="D574" s="50"/>
      <c r="E574" s="211"/>
      <c r="F574" s="50"/>
      <c r="G574" s="50"/>
    </row>
    <row r="575" spans="1:7">
      <c r="A575" s="50"/>
    </row>
    <row r="576" spans="1:7">
      <c r="A576" s="50"/>
      <c r="B576" s="50"/>
      <c r="C576" s="50"/>
      <c r="D576" s="50"/>
      <c r="E576" s="211"/>
      <c r="F576" s="50"/>
      <c r="G576" s="50"/>
    </row>
    <row r="582" spans="1:7">
      <c r="A582" s="50"/>
      <c r="B582" s="84"/>
      <c r="C582" s="84"/>
      <c r="D582" s="84"/>
      <c r="E582" s="210"/>
      <c r="F582" s="84"/>
      <c r="G582" s="84"/>
    </row>
    <row r="584" spans="1:7">
      <c r="A584" s="50"/>
      <c r="B584" s="50"/>
      <c r="C584" s="50"/>
      <c r="D584" s="50"/>
      <c r="E584" s="211"/>
      <c r="F584" s="50"/>
      <c r="G584" s="50"/>
    </row>
    <row r="589" spans="1:7">
      <c r="A589" s="83"/>
      <c r="B589" s="84"/>
      <c r="C589" s="84"/>
      <c r="D589" s="84"/>
      <c r="E589" s="210"/>
      <c r="F589" s="84"/>
      <c r="G589" s="84"/>
    </row>
    <row r="591" spans="1:7">
      <c r="A591" s="50"/>
      <c r="B591" s="50"/>
      <c r="C591" s="50"/>
      <c r="D591" s="50"/>
      <c r="E591" s="211"/>
      <c r="F591" s="50"/>
      <c r="G591" s="50"/>
    </row>
    <row r="596" spans="1:7">
      <c r="A596" s="83"/>
      <c r="B596" s="84"/>
      <c r="C596" s="84"/>
      <c r="D596" s="84"/>
      <c r="E596" s="210"/>
      <c r="F596" s="84"/>
      <c r="G596" s="84"/>
    </row>
    <row r="598" spans="1:7">
      <c r="A598" s="50"/>
      <c r="B598" s="50"/>
      <c r="C598" s="50"/>
      <c r="D598" s="50"/>
      <c r="E598" s="211"/>
      <c r="F598" s="50"/>
      <c r="G598" s="50"/>
    </row>
    <row r="603" spans="1:7">
      <c r="A603" s="83"/>
      <c r="B603" s="84"/>
      <c r="C603" s="84"/>
      <c r="D603" s="84"/>
      <c r="E603" s="210"/>
      <c r="F603" s="84"/>
      <c r="G603" s="84"/>
    </row>
    <row r="605" spans="1:7">
      <c r="A605" s="50"/>
      <c r="B605" s="50"/>
      <c r="C605" s="50"/>
      <c r="D605" s="50"/>
      <c r="E605" s="211"/>
      <c r="F605" s="50"/>
      <c r="G605" s="50"/>
    </row>
    <row r="611" spans="1:7">
      <c r="A611" s="83"/>
      <c r="B611" s="85"/>
      <c r="C611" s="85"/>
      <c r="D611" s="85"/>
      <c r="E611" s="212"/>
      <c r="F611" s="85"/>
      <c r="G611" s="85"/>
    </row>
    <row r="614" spans="1:7">
      <c r="A614" s="50"/>
      <c r="B614" s="50"/>
      <c r="C614" s="50"/>
      <c r="D614" s="50"/>
      <c r="E614" s="211"/>
      <c r="F614" s="50"/>
      <c r="G614" s="50"/>
    </row>
    <row r="615" spans="1:7">
      <c r="A615" s="50"/>
    </row>
    <row r="616" spans="1:7">
      <c r="A616" s="50"/>
      <c r="B616" s="50"/>
      <c r="C616" s="50"/>
      <c r="D616" s="50"/>
      <c r="E616" s="211"/>
      <c r="F616" s="50"/>
      <c r="G616" s="50"/>
    </row>
    <row r="622" spans="1:7">
      <c r="A622" s="50"/>
      <c r="B622" s="84"/>
      <c r="C622" s="84"/>
      <c r="D622" s="84"/>
      <c r="E622" s="210"/>
      <c r="F622" s="84"/>
      <c r="G622" s="84"/>
    </row>
    <row r="624" spans="1:7">
      <c r="A624" s="50"/>
      <c r="B624" s="50"/>
      <c r="C624" s="50"/>
      <c r="D624" s="50"/>
      <c r="E624" s="211"/>
      <c r="F624" s="50"/>
      <c r="G624" s="50"/>
    </row>
    <row r="629" spans="1:7">
      <c r="A629" s="83"/>
      <c r="B629" s="84"/>
      <c r="C629" s="84"/>
      <c r="D629" s="84"/>
      <c r="E629" s="210"/>
      <c r="F629" s="84"/>
      <c r="G629" s="84"/>
    </row>
    <row r="631" spans="1:7">
      <c r="A631" s="50"/>
      <c r="B631" s="50"/>
      <c r="C631" s="50"/>
      <c r="D631" s="50"/>
      <c r="E631" s="211"/>
      <c r="F631" s="50"/>
      <c r="G631" s="50"/>
    </row>
    <row r="636" spans="1:7">
      <c r="A636" s="83"/>
      <c r="B636" s="84"/>
      <c r="C636" s="84"/>
      <c r="D636" s="84"/>
      <c r="E636" s="210"/>
      <c r="F636" s="84"/>
      <c r="G636" s="84"/>
    </row>
    <row r="638" spans="1:7">
      <c r="A638" s="50"/>
      <c r="B638" s="50"/>
      <c r="C638" s="50"/>
      <c r="D638" s="50"/>
      <c r="E638" s="211"/>
      <c r="F638" s="50"/>
      <c r="G638" s="50"/>
    </row>
    <row r="643" spans="1:7">
      <c r="A643" s="83"/>
      <c r="B643" s="84"/>
      <c r="C643" s="84"/>
      <c r="D643" s="84"/>
      <c r="E643" s="210"/>
      <c r="F643" s="84"/>
      <c r="G643" s="84"/>
    </row>
    <row r="645" spans="1:7">
      <c r="A645" s="50"/>
      <c r="B645" s="50"/>
      <c r="C645" s="50"/>
      <c r="D645" s="50"/>
      <c r="E645" s="211"/>
      <c r="F645" s="50"/>
      <c r="G645" s="50"/>
    </row>
    <row r="651" spans="1:7">
      <c r="A651" s="83"/>
      <c r="B651" s="85"/>
      <c r="C651" s="85"/>
      <c r="D651" s="85"/>
      <c r="E651" s="212"/>
      <c r="F651" s="85"/>
      <c r="G651" s="85"/>
    </row>
    <row r="654" spans="1:7">
      <c r="A654" s="50"/>
      <c r="B654" s="50"/>
      <c r="C654" s="50"/>
      <c r="D654" s="50"/>
      <c r="E654" s="211"/>
      <c r="F654" s="50"/>
      <c r="G654" s="50"/>
    </row>
    <row r="655" spans="1:7">
      <c r="A655" s="50"/>
    </row>
    <row r="656" spans="1:7">
      <c r="A656" s="50"/>
      <c r="B656" s="50"/>
      <c r="C656" s="50"/>
      <c r="D656" s="50"/>
      <c r="E656" s="211"/>
      <c r="F656" s="50"/>
      <c r="G656" s="50"/>
    </row>
    <row r="662" spans="1:7">
      <c r="A662" s="50"/>
      <c r="B662" s="84"/>
      <c r="C662" s="84"/>
      <c r="D662" s="84"/>
      <c r="E662" s="210"/>
      <c r="F662" s="84"/>
      <c r="G662" s="84"/>
    </row>
    <row r="664" spans="1:7">
      <c r="A664" s="50"/>
      <c r="B664" s="50"/>
      <c r="C664" s="50"/>
      <c r="D664" s="50"/>
      <c r="E664" s="211"/>
      <c r="F664" s="50"/>
      <c r="G664" s="50"/>
    </row>
    <row r="669" spans="1:7">
      <c r="A669" s="83"/>
      <c r="B669" s="84"/>
      <c r="C669" s="84"/>
      <c r="D669" s="84"/>
      <c r="E669" s="210"/>
      <c r="F669" s="84"/>
      <c r="G669" s="84"/>
    </row>
    <row r="671" spans="1:7">
      <c r="A671" s="50"/>
      <c r="B671" s="50"/>
      <c r="C671" s="50"/>
      <c r="D671" s="50"/>
      <c r="E671" s="211"/>
      <c r="F671" s="50"/>
      <c r="G671" s="50"/>
    </row>
    <row r="676" spans="1:7">
      <c r="A676" s="83"/>
      <c r="B676" s="84"/>
      <c r="C676" s="84"/>
      <c r="D676" s="84"/>
      <c r="E676" s="210"/>
      <c r="F676" s="84"/>
      <c r="G676" s="84"/>
    </row>
    <row r="678" spans="1:7">
      <c r="A678" s="50"/>
      <c r="B678" s="50"/>
      <c r="C678" s="50"/>
      <c r="D678" s="50"/>
      <c r="E678" s="211"/>
      <c r="F678" s="50"/>
      <c r="G678" s="50"/>
    </row>
    <row r="683" spans="1:7">
      <c r="A683" s="83"/>
      <c r="B683" s="84"/>
      <c r="C683" s="84"/>
      <c r="D683" s="84"/>
      <c r="E683" s="210"/>
      <c r="F683" s="84"/>
      <c r="G683" s="84"/>
    </row>
    <row r="685" spans="1:7">
      <c r="A685" s="50"/>
      <c r="B685" s="50"/>
      <c r="C685" s="50"/>
      <c r="D685" s="50"/>
      <c r="E685" s="211"/>
      <c r="F685" s="50"/>
      <c r="G685" s="50"/>
    </row>
    <row r="691" spans="1:7">
      <c r="A691" s="83"/>
      <c r="B691" s="85"/>
      <c r="C691" s="85"/>
      <c r="D691" s="85"/>
      <c r="E691" s="212"/>
      <c r="F691" s="85"/>
      <c r="G691" s="85"/>
    </row>
    <row r="694" spans="1:7">
      <c r="A694" s="50"/>
      <c r="B694" s="50"/>
      <c r="C694" s="50"/>
      <c r="D694" s="50"/>
      <c r="E694" s="211"/>
      <c r="F694" s="50"/>
      <c r="G694" s="50"/>
    </row>
    <row r="695" spans="1:7">
      <c r="A695" s="50"/>
    </row>
    <row r="696" spans="1:7">
      <c r="A696" s="50"/>
      <c r="B696" s="50"/>
      <c r="C696" s="50"/>
      <c r="D696" s="50"/>
      <c r="E696" s="211"/>
      <c r="F696" s="50"/>
      <c r="G696" s="50"/>
    </row>
    <row r="702" spans="1:7">
      <c r="A702" s="50"/>
      <c r="B702" s="84"/>
      <c r="C702" s="84"/>
      <c r="D702" s="84"/>
      <c r="E702" s="210"/>
      <c r="F702" s="84"/>
      <c r="G702" s="84"/>
    </row>
    <row r="704" spans="1:7">
      <c r="A704" s="50"/>
      <c r="B704" s="50"/>
      <c r="C704" s="50"/>
      <c r="D704" s="50"/>
      <c r="E704" s="211"/>
      <c r="F704" s="50"/>
      <c r="G704" s="50"/>
    </row>
    <row r="709" spans="1:7">
      <c r="A709" s="83"/>
      <c r="B709" s="84"/>
      <c r="C709" s="84"/>
      <c r="D709" s="84"/>
      <c r="E709" s="210"/>
      <c r="F709" s="84"/>
      <c r="G709" s="84"/>
    </row>
    <row r="711" spans="1:7">
      <c r="A711" s="50"/>
      <c r="B711" s="50"/>
      <c r="C711" s="50"/>
      <c r="D711" s="50"/>
      <c r="E711" s="211"/>
      <c r="F711" s="50"/>
      <c r="G711" s="50"/>
    </row>
    <row r="716" spans="1:7">
      <c r="A716" s="83"/>
      <c r="B716" s="84"/>
      <c r="C716" s="84"/>
      <c r="D716" s="84"/>
      <c r="E716" s="210"/>
      <c r="F716" s="84"/>
      <c r="G716" s="84"/>
    </row>
    <row r="718" spans="1:7">
      <c r="A718" s="50"/>
      <c r="B718" s="50"/>
      <c r="C718" s="50"/>
      <c r="D718" s="50"/>
      <c r="E718" s="211"/>
      <c r="F718" s="50"/>
      <c r="G718" s="50"/>
    </row>
    <row r="723" spans="1:7">
      <c r="A723" s="83"/>
      <c r="B723" s="84"/>
      <c r="C723" s="84"/>
      <c r="D723" s="84"/>
      <c r="E723" s="210"/>
      <c r="F723" s="84"/>
      <c r="G723" s="84"/>
    </row>
    <row r="725" spans="1:7">
      <c r="A725" s="50"/>
      <c r="B725" s="50"/>
      <c r="C725" s="50"/>
      <c r="D725" s="50"/>
      <c r="E725" s="211"/>
      <c r="F725" s="50"/>
      <c r="G725" s="50"/>
    </row>
    <row r="731" spans="1:7">
      <c r="A731" s="83"/>
      <c r="B731" s="85"/>
      <c r="C731" s="85"/>
      <c r="D731" s="85"/>
      <c r="E731" s="212"/>
      <c r="F731" s="85"/>
      <c r="G731" s="85"/>
    </row>
    <row r="734" spans="1:7">
      <c r="A734" s="50"/>
      <c r="B734" s="50"/>
      <c r="C734" s="50"/>
      <c r="D734" s="50"/>
      <c r="E734" s="211"/>
      <c r="F734" s="50"/>
      <c r="G734" s="50"/>
    </row>
    <row r="735" spans="1:7">
      <c r="A735" s="50"/>
    </row>
    <row r="736" spans="1:7">
      <c r="A736" s="50"/>
      <c r="B736" s="50"/>
      <c r="C736" s="50"/>
      <c r="D736" s="50"/>
      <c r="E736" s="211"/>
      <c r="F736" s="50"/>
      <c r="G736" s="50"/>
    </row>
    <row r="742" spans="1:7">
      <c r="A742" s="50"/>
      <c r="B742" s="84"/>
      <c r="C742" s="84"/>
      <c r="D742" s="84"/>
      <c r="E742" s="210"/>
      <c r="F742" s="84"/>
      <c r="G742" s="84"/>
    </row>
    <row r="744" spans="1:7">
      <c r="A744" s="50"/>
      <c r="B744" s="50"/>
      <c r="C744" s="50"/>
      <c r="D744" s="50"/>
      <c r="E744" s="211"/>
      <c r="F744" s="50"/>
      <c r="G744" s="50"/>
    </row>
    <row r="749" spans="1:7">
      <c r="A749" s="83"/>
      <c r="B749" s="84"/>
      <c r="C749" s="84"/>
      <c r="D749" s="84"/>
      <c r="E749" s="210"/>
      <c r="F749" s="84"/>
      <c r="G749" s="84"/>
    </row>
    <row r="751" spans="1:7">
      <c r="A751" s="50"/>
      <c r="B751" s="50"/>
      <c r="C751" s="50"/>
      <c r="D751" s="50"/>
      <c r="E751" s="211"/>
      <c r="F751" s="50"/>
      <c r="G751" s="50"/>
    </row>
    <row r="756" spans="1:7">
      <c r="A756" s="83"/>
      <c r="B756" s="84"/>
      <c r="C756" s="84"/>
      <c r="D756" s="84"/>
      <c r="E756" s="210"/>
      <c r="F756" s="84"/>
      <c r="G756" s="84"/>
    </row>
    <row r="758" spans="1:7">
      <c r="A758" s="50"/>
      <c r="B758" s="50"/>
      <c r="C758" s="50"/>
      <c r="D758" s="50"/>
      <c r="E758" s="211"/>
      <c r="F758" s="50"/>
      <c r="G758" s="50"/>
    </row>
    <row r="763" spans="1:7">
      <c r="A763" s="83"/>
      <c r="B763" s="84"/>
      <c r="C763" s="84"/>
      <c r="D763" s="84"/>
      <c r="E763" s="210"/>
      <c r="F763" s="84"/>
      <c r="G763" s="84"/>
    </row>
    <row r="765" spans="1:7">
      <c r="A765" s="50"/>
      <c r="B765" s="50"/>
      <c r="C765" s="50"/>
      <c r="D765" s="50"/>
      <c r="E765" s="211"/>
      <c r="F765" s="50"/>
      <c r="G765" s="50"/>
    </row>
    <row r="771" spans="1:7">
      <c r="A771" s="83"/>
      <c r="B771" s="85"/>
      <c r="C771" s="85"/>
      <c r="D771" s="85"/>
      <c r="E771" s="212"/>
      <c r="F771" s="85"/>
      <c r="G771" s="85"/>
    </row>
    <row r="774" spans="1:7">
      <c r="A774" s="50"/>
      <c r="B774" s="50"/>
      <c r="C774" s="50"/>
      <c r="D774" s="50"/>
      <c r="E774" s="211"/>
      <c r="F774" s="50"/>
      <c r="G774" s="50"/>
    </row>
    <row r="775" spans="1:7">
      <c r="A775" s="50"/>
    </row>
    <row r="776" spans="1:7">
      <c r="A776" s="50"/>
      <c r="B776" s="50"/>
      <c r="C776" s="50"/>
      <c r="D776" s="50"/>
      <c r="E776" s="211"/>
      <c r="F776" s="50"/>
      <c r="G776" s="50"/>
    </row>
    <row r="782" spans="1:7">
      <c r="A782" s="50"/>
      <c r="B782" s="84"/>
      <c r="C782" s="84"/>
      <c r="D782" s="84"/>
      <c r="E782" s="210"/>
      <c r="F782" s="84"/>
      <c r="G782" s="84"/>
    </row>
    <row r="784" spans="1:7">
      <c r="A784" s="50"/>
      <c r="B784" s="50"/>
      <c r="C784" s="50"/>
      <c r="D784" s="50"/>
      <c r="E784" s="211"/>
      <c r="F784" s="50"/>
      <c r="G784" s="50"/>
    </row>
    <row r="789" spans="1:7">
      <c r="A789" s="83"/>
      <c r="B789" s="84"/>
      <c r="C789" s="84"/>
      <c r="D789" s="84"/>
      <c r="E789" s="210"/>
      <c r="F789" s="84"/>
      <c r="G789" s="84"/>
    </row>
    <row r="791" spans="1:7">
      <c r="A791" s="50"/>
      <c r="B791" s="50"/>
      <c r="C791" s="50"/>
      <c r="D791" s="50"/>
      <c r="E791" s="211"/>
      <c r="F791" s="50"/>
      <c r="G791" s="50"/>
    </row>
    <row r="796" spans="1:7">
      <c r="A796" s="83"/>
      <c r="B796" s="84"/>
      <c r="C796" s="84"/>
      <c r="D796" s="84"/>
      <c r="E796" s="210"/>
      <c r="F796" s="84"/>
      <c r="G796" s="84"/>
    </row>
    <row r="798" spans="1:7">
      <c r="A798" s="50"/>
      <c r="B798" s="50"/>
      <c r="C798" s="50"/>
      <c r="D798" s="50"/>
      <c r="E798" s="211"/>
      <c r="F798" s="50"/>
      <c r="G798" s="50"/>
    </row>
    <row r="803" spans="1:7">
      <c r="A803" s="83"/>
      <c r="B803" s="84"/>
      <c r="C803" s="84"/>
      <c r="D803" s="84"/>
      <c r="E803" s="210"/>
      <c r="F803" s="84"/>
      <c r="G803" s="84"/>
    </row>
    <row r="805" spans="1:7">
      <c r="A805" s="50"/>
      <c r="B805" s="50"/>
      <c r="C805" s="50"/>
      <c r="D805" s="50"/>
      <c r="E805" s="211"/>
      <c r="F805" s="50"/>
      <c r="G805" s="50"/>
    </row>
    <row r="811" spans="1:7">
      <c r="A811" s="83"/>
      <c r="B811" s="85"/>
      <c r="C811" s="85"/>
      <c r="D811" s="85"/>
      <c r="E811" s="212"/>
      <c r="F811" s="85"/>
      <c r="G811" s="85"/>
    </row>
    <row r="814" spans="1:7">
      <c r="A814" s="50"/>
      <c r="B814" s="50"/>
      <c r="C814" s="50"/>
      <c r="D814" s="50"/>
      <c r="E814" s="211"/>
      <c r="F814" s="50"/>
      <c r="G814" s="50"/>
    </row>
    <row r="815" spans="1:7">
      <c r="A815" s="50"/>
    </row>
    <row r="816" spans="1:7">
      <c r="A816" s="50"/>
      <c r="B816" s="50"/>
      <c r="C816" s="50"/>
      <c r="D816" s="50"/>
      <c r="E816" s="211"/>
      <c r="F816" s="50"/>
      <c r="G816" s="50"/>
    </row>
    <row r="822" spans="1:7">
      <c r="A822" s="50"/>
      <c r="B822" s="84"/>
      <c r="C822" s="84"/>
      <c r="D822" s="84"/>
      <c r="E822" s="210"/>
      <c r="F822" s="84"/>
      <c r="G822" s="84"/>
    </row>
    <row r="824" spans="1:7">
      <c r="A824" s="50"/>
      <c r="B824" s="50"/>
      <c r="C824" s="50"/>
      <c r="D824" s="50"/>
      <c r="E824" s="211"/>
      <c r="F824" s="50"/>
      <c r="G824" s="50"/>
    </row>
    <row r="829" spans="1:7">
      <c r="A829" s="83"/>
      <c r="B829" s="84"/>
      <c r="C829" s="84"/>
      <c r="D829" s="84"/>
      <c r="E829" s="210"/>
      <c r="F829" s="84"/>
      <c r="G829" s="84"/>
    </row>
    <row r="831" spans="1:7">
      <c r="A831" s="50"/>
      <c r="B831" s="50"/>
      <c r="C831" s="50"/>
      <c r="D831" s="50"/>
      <c r="E831" s="211"/>
      <c r="F831" s="50"/>
      <c r="G831" s="50"/>
    </row>
    <row r="836" spans="1:7">
      <c r="A836" s="83"/>
      <c r="B836" s="84"/>
      <c r="C836" s="84"/>
      <c r="D836" s="84"/>
      <c r="E836" s="210"/>
      <c r="F836" s="84"/>
      <c r="G836" s="84"/>
    </row>
    <row r="838" spans="1:7">
      <c r="A838" s="50"/>
      <c r="B838" s="50"/>
      <c r="C838" s="50"/>
      <c r="D838" s="50"/>
      <c r="E838" s="211"/>
      <c r="F838" s="50"/>
      <c r="G838" s="50"/>
    </row>
    <row r="843" spans="1:7">
      <c r="A843" s="83"/>
      <c r="B843" s="84"/>
      <c r="C843" s="84"/>
      <c r="D843" s="84"/>
      <c r="E843" s="210"/>
      <c r="F843" s="84"/>
      <c r="G843" s="84"/>
    </row>
    <row r="845" spans="1:7">
      <c r="A845" s="50"/>
      <c r="B845" s="50"/>
      <c r="C845" s="50"/>
      <c r="D845" s="50"/>
      <c r="E845" s="211"/>
      <c r="F845" s="50"/>
      <c r="G845" s="50"/>
    </row>
    <row r="851" spans="1:7">
      <c r="A851" s="83"/>
      <c r="B851" s="85"/>
      <c r="C851" s="85"/>
      <c r="D851" s="85"/>
      <c r="E851" s="212"/>
      <c r="F851" s="85"/>
      <c r="G851" s="85"/>
    </row>
    <row r="854" spans="1:7">
      <c r="A854" s="50"/>
      <c r="B854" s="50"/>
      <c r="C854" s="50"/>
      <c r="D854" s="50"/>
      <c r="E854" s="211"/>
      <c r="F854" s="50"/>
      <c r="G854" s="50"/>
    </row>
    <row r="855" spans="1:7">
      <c r="A855" s="50"/>
    </row>
    <row r="856" spans="1:7">
      <c r="A856" s="50"/>
      <c r="B856" s="50"/>
      <c r="C856" s="50"/>
      <c r="D856" s="50"/>
      <c r="E856" s="211"/>
      <c r="F856" s="50"/>
      <c r="G856" s="50"/>
    </row>
    <row r="862" spans="1:7">
      <c r="A862" s="50"/>
      <c r="B862" s="84"/>
      <c r="C862" s="84"/>
      <c r="D862" s="84"/>
      <c r="E862" s="210"/>
      <c r="F862" s="84"/>
      <c r="G862" s="84"/>
    </row>
    <row r="864" spans="1:7">
      <c r="A864" s="50"/>
      <c r="B864" s="50"/>
      <c r="C864" s="50"/>
      <c r="D864" s="50"/>
      <c r="E864" s="211"/>
      <c r="F864" s="50"/>
      <c r="G864" s="50"/>
    </row>
    <row r="869" spans="1:7">
      <c r="A869" s="83"/>
      <c r="B869" s="84"/>
      <c r="C869" s="84"/>
      <c r="D869" s="84"/>
      <c r="E869" s="210"/>
      <c r="F869" s="84"/>
      <c r="G869" s="84"/>
    </row>
    <row r="871" spans="1:7">
      <c r="A871" s="50"/>
      <c r="B871" s="50"/>
      <c r="C871" s="50"/>
      <c r="D871" s="50"/>
      <c r="E871" s="211"/>
      <c r="F871" s="50"/>
      <c r="G871" s="50"/>
    </row>
    <row r="876" spans="1:7">
      <c r="A876" s="83"/>
      <c r="B876" s="84"/>
      <c r="C876" s="84"/>
      <c r="D876" s="84"/>
      <c r="E876" s="210"/>
      <c r="F876" s="84"/>
      <c r="G876" s="84"/>
    </row>
    <row r="878" spans="1:7">
      <c r="A878" s="50"/>
      <c r="B878" s="50"/>
      <c r="C878" s="50"/>
      <c r="D878" s="50"/>
      <c r="E878" s="211"/>
      <c r="F878" s="50"/>
      <c r="G878" s="50"/>
    </row>
    <row r="883" spans="1:7">
      <c r="A883" s="83"/>
      <c r="B883" s="84"/>
      <c r="C883" s="84"/>
      <c r="D883" s="84"/>
      <c r="E883" s="210"/>
      <c r="F883" s="84"/>
      <c r="G883" s="84"/>
    </row>
    <row r="885" spans="1:7">
      <c r="A885" s="50"/>
      <c r="B885" s="50"/>
      <c r="C885" s="50"/>
      <c r="D885" s="50"/>
      <c r="E885" s="211"/>
      <c r="F885" s="50"/>
      <c r="G885" s="50"/>
    </row>
    <row r="891" spans="1:7">
      <c r="A891" s="83"/>
      <c r="B891" s="85"/>
      <c r="C891" s="85"/>
      <c r="D891" s="85"/>
      <c r="E891" s="212"/>
      <c r="F891" s="85"/>
      <c r="G891" s="85"/>
    </row>
    <row r="894" spans="1:7">
      <c r="A894" s="50"/>
      <c r="B894" s="50"/>
      <c r="C894" s="50"/>
      <c r="D894" s="50"/>
      <c r="E894" s="211"/>
      <c r="F894" s="50"/>
      <c r="G894" s="50"/>
    </row>
    <row r="895" spans="1:7">
      <c r="A895" s="50"/>
    </row>
    <row r="896" spans="1:7">
      <c r="A896" s="50"/>
      <c r="B896" s="50"/>
      <c r="C896" s="50"/>
      <c r="D896" s="50"/>
      <c r="E896" s="211"/>
      <c r="F896" s="50"/>
      <c r="G896" s="50"/>
    </row>
    <row r="902" spans="1:7">
      <c r="A902" s="50"/>
      <c r="B902" s="84"/>
      <c r="C902" s="84"/>
      <c r="D902" s="84"/>
      <c r="E902" s="210"/>
      <c r="F902" s="84"/>
      <c r="G902" s="84"/>
    </row>
    <row r="904" spans="1:7">
      <c r="A904" s="50"/>
      <c r="B904" s="50"/>
      <c r="C904" s="50"/>
      <c r="D904" s="50"/>
      <c r="E904" s="211"/>
      <c r="F904" s="50"/>
      <c r="G904" s="50"/>
    </row>
    <row r="909" spans="1:7">
      <c r="A909" s="83"/>
      <c r="B909" s="84"/>
      <c r="C909" s="84"/>
      <c r="D909" s="84"/>
      <c r="E909" s="210"/>
      <c r="F909" s="84"/>
      <c r="G909" s="84"/>
    </row>
    <row r="911" spans="1:7">
      <c r="A911" s="50"/>
      <c r="B911" s="50"/>
      <c r="C911" s="50"/>
      <c r="D911" s="50"/>
      <c r="E911" s="211"/>
      <c r="F911" s="50"/>
      <c r="G911" s="50"/>
    </row>
    <row r="916" spans="1:7">
      <c r="A916" s="83"/>
      <c r="B916" s="84"/>
      <c r="C916" s="84"/>
      <c r="D916" s="84"/>
      <c r="E916" s="210"/>
      <c r="F916" s="84"/>
      <c r="G916" s="84"/>
    </row>
    <row r="918" spans="1:7">
      <c r="A918" s="50"/>
      <c r="B918" s="50"/>
      <c r="C918" s="50"/>
      <c r="D918" s="50"/>
      <c r="E918" s="211"/>
      <c r="F918" s="50"/>
      <c r="G918" s="50"/>
    </row>
    <row r="923" spans="1:7">
      <c r="A923" s="83"/>
      <c r="B923" s="84"/>
      <c r="C923" s="84"/>
      <c r="D923" s="84"/>
      <c r="E923" s="210"/>
      <c r="F923" s="84"/>
      <c r="G923" s="84"/>
    </row>
    <row r="925" spans="1:7">
      <c r="A925" s="50"/>
      <c r="B925" s="50"/>
      <c r="C925" s="50"/>
      <c r="D925" s="50"/>
      <c r="E925" s="211"/>
      <c r="F925" s="50"/>
      <c r="G925" s="50"/>
    </row>
    <row r="931" spans="1:7">
      <c r="A931" s="83"/>
      <c r="B931" s="85"/>
      <c r="C931" s="85"/>
      <c r="D931" s="85"/>
      <c r="E931" s="212"/>
      <c r="F931" s="85"/>
      <c r="G931" s="85"/>
    </row>
    <row r="934" spans="1:7">
      <c r="A934" s="50"/>
      <c r="B934" s="50"/>
      <c r="C934" s="50"/>
      <c r="D934" s="50"/>
      <c r="E934" s="211"/>
      <c r="F934" s="50"/>
      <c r="G934" s="50"/>
    </row>
    <row r="935" spans="1:7">
      <c r="A935" s="50"/>
    </row>
    <row r="936" spans="1:7">
      <c r="A936" s="50"/>
      <c r="B936" s="50"/>
      <c r="C936" s="50"/>
      <c r="D936" s="50"/>
      <c r="E936" s="211"/>
      <c r="F936" s="50"/>
      <c r="G936" s="50"/>
    </row>
    <row r="942" spans="1:7">
      <c r="A942" s="50"/>
      <c r="B942" s="84"/>
      <c r="C942" s="84"/>
      <c r="D942" s="84"/>
      <c r="E942" s="210"/>
      <c r="F942" s="84"/>
      <c r="G942" s="84"/>
    </row>
    <row r="944" spans="1:7">
      <c r="A944" s="50"/>
      <c r="B944" s="50"/>
      <c r="C944" s="50"/>
      <c r="D944" s="50"/>
      <c r="E944" s="211"/>
      <c r="F944" s="50"/>
      <c r="G944" s="50"/>
    </row>
    <row r="949" spans="1:7">
      <c r="A949" s="83"/>
      <c r="B949" s="84"/>
      <c r="C949" s="84"/>
      <c r="D949" s="84"/>
      <c r="E949" s="210"/>
      <c r="F949" s="84"/>
      <c r="G949" s="84"/>
    </row>
    <row r="951" spans="1:7">
      <c r="A951" s="50"/>
      <c r="B951" s="50"/>
      <c r="C951" s="50"/>
      <c r="D951" s="50"/>
      <c r="E951" s="211"/>
      <c r="F951" s="50"/>
      <c r="G951" s="50"/>
    </row>
    <row r="956" spans="1:7">
      <c r="A956" s="83"/>
      <c r="B956" s="84"/>
      <c r="C956" s="84"/>
      <c r="D956" s="84"/>
      <c r="E956" s="210"/>
      <c r="F956" s="84"/>
      <c r="G956" s="84"/>
    </row>
    <row r="958" spans="1:7">
      <c r="A958" s="50"/>
      <c r="B958" s="50"/>
      <c r="C958" s="50"/>
      <c r="D958" s="50"/>
      <c r="E958" s="211"/>
      <c r="F958" s="50"/>
      <c r="G958" s="50"/>
    </row>
    <row r="963" spans="1:7">
      <c r="A963" s="83"/>
      <c r="B963" s="84"/>
      <c r="C963" s="84"/>
      <c r="D963" s="84"/>
      <c r="E963" s="210"/>
      <c r="F963" s="84"/>
      <c r="G963" s="84"/>
    </row>
    <row r="965" spans="1:7">
      <c r="A965" s="50"/>
      <c r="B965" s="50"/>
      <c r="C965" s="50"/>
      <c r="D965" s="50"/>
      <c r="E965" s="211"/>
      <c r="F965" s="50"/>
      <c r="G965" s="50"/>
    </row>
    <row r="971" spans="1:7">
      <c r="A971" s="83"/>
      <c r="B971" s="85"/>
      <c r="C971" s="85"/>
      <c r="D971" s="85"/>
      <c r="E971" s="212"/>
      <c r="F971" s="85"/>
      <c r="G971" s="85"/>
    </row>
    <row r="974" spans="1:7">
      <c r="A974" s="50"/>
      <c r="B974" s="50"/>
      <c r="C974" s="50"/>
      <c r="D974" s="50"/>
      <c r="E974" s="211"/>
      <c r="F974" s="50"/>
      <c r="G974" s="50"/>
    </row>
    <row r="975" spans="1:7">
      <c r="A975" s="50"/>
    </row>
    <row r="976" spans="1:7">
      <c r="A976" s="50"/>
      <c r="B976" s="50"/>
      <c r="C976" s="50"/>
      <c r="D976" s="50"/>
      <c r="E976" s="211"/>
      <c r="F976" s="50"/>
      <c r="G976" s="50"/>
    </row>
    <row r="982" spans="1:7">
      <c r="A982" s="50"/>
      <c r="B982" s="84"/>
      <c r="C982" s="84"/>
      <c r="D982" s="84"/>
      <c r="E982" s="210"/>
      <c r="F982" s="84"/>
      <c r="G982" s="84"/>
    </row>
    <row r="984" spans="1:7">
      <c r="A984" s="50"/>
      <c r="B984" s="50"/>
      <c r="C984" s="50"/>
      <c r="D984" s="50"/>
      <c r="E984" s="211"/>
      <c r="F984" s="50"/>
      <c r="G984" s="50"/>
    </row>
    <row r="989" spans="1:7">
      <c r="A989" s="83"/>
      <c r="B989" s="84"/>
      <c r="C989" s="84"/>
      <c r="D989" s="84"/>
      <c r="E989" s="210"/>
      <c r="F989" s="84"/>
      <c r="G989" s="84"/>
    </row>
    <row r="991" spans="1:7">
      <c r="A991" s="50"/>
      <c r="B991" s="50"/>
      <c r="C991" s="50"/>
      <c r="D991" s="50"/>
      <c r="E991" s="211"/>
      <c r="F991" s="50"/>
      <c r="G991" s="50"/>
    </row>
    <row r="996" spans="1:7">
      <c r="A996" s="83"/>
      <c r="B996" s="84"/>
      <c r="C996" s="84"/>
      <c r="D996" s="84"/>
      <c r="E996" s="210"/>
      <c r="F996" s="84"/>
      <c r="G996" s="84"/>
    </row>
    <row r="998" spans="1:7">
      <c r="A998" s="50"/>
      <c r="B998" s="50"/>
      <c r="C998" s="50"/>
      <c r="D998" s="50"/>
      <c r="E998" s="211"/>
      <c r="F998" s="50"/>
      <c r="G998" s="50"/>
    </row>
    <row r="1003" spans="1:7">
      <c r="A1003" s="83"/>
      <c r="B1003" s="84"/>
      <c r="C1003" s="84"/>
      <c r="D1003" s="84"/>
      <c r="E1003" s="210"/>
      <c r="F1003" s="84"/>
      <c r="G1003" s="84"/>
    </row>
    <row r="1005" spans="1:7">
      <c r="A1005" s="50"/>
      <c r="B1005" s="50"/>
      <c r="C1005" s="50"/>
      <c r="D1005" s="50"/>
      <c r="E1005" s="211"/>
      <c r="F1005" s="50"/>
      <c r="G1005" s="50"/>
    </row>
    <row r="1011" spans="1:7">
      <c r="A1011" s="83"/>
      <c r="B1011" s="85"/>
      <c r="C1011" s="85"/>
      <c r="D1011" s="85"/>
      <c r="E1011" s="212"/>
      <c r="F1011" s="85"/>
      <c r="G1011" s="85"/>
    </row>
    <row r="1014" spans="1:7">
      <c r="A1014" s="50"/>
      <c r="B1014" s="50"/>
      <c r="C1014" s="50"/>
      <c r="D1014" s="50"/>
      <c r="E1014" s="211"/>
      <c r="F1014" s="50"/>
      <c r="G1014" s="50"/>
    </row>
    <row r="1015" spans="1:7">
      <c r="A1015" s="50"/>
    </row>
    <row r="1016" spans="1:7">
      <c r="A1016" s="50"/>
      <c r="B1016" s="50"/>
      <c r="C1016" s="50"/>
      <c r="D1016" s="50"/>
      <c r="E1016" s="211"/>
      <c r="F1016" s="50"/>
      <c r="G1016" s="50"/>
    </row>
    <row r="1022" spans="1:7">
      <c r="A1022" s="50"/>
      <c r="B1022" s="84"/>
      <c r="C1022" s="84"/>
      <c r="D1022" s="84"/>
      <c r="E1022" s="210"/>
      <c r="F1022" s="84"/>
      <c r="G1022" s="84"/>
    </row>
    <row r="1024" spans="1:7">
      <c r="A1024" s="50"/>
      <c r="B1024" s="50"/>
      <c r="C1024" s="50"/>
      <c r="D1024" s="50"/>
      <c r="E1024" s="211"/>
      <c r="F1024" s="50"/>
      <c r="G1024" s="50"/>
    </row>
    <row r="1029" spans="1:7">
      <c r="A1029" s="83"/>
      <c r="B1029" s="84"/>
      <c r="C1029" s="84"/>
      <c r="D1029" s="84"/>
      <c r="E1029" s="210"/>
      <c r="F1029" s="84"/>
      <c r="G1029" s="84"/>
    </row>
    <row r="1031" spans="1:7">
      <c r="A1031" s="50"/>
      <c r="B1031" s="50"/>
      <c r="C1031" s="50"/>
      <c r="D1031" s="50"/>
      <c r="E1031" s="211"/>
      <c r="F1031" s="50"/>
      <c r="G1031" s="50"/>
    </row>
    <row r="1036" spans="1:7">
      <c r="A1036" s="83"/>
      <c r="B1036" s="84"/>
      <c r="C1036" s="84"/>
      <c r="D1036" s="84"/>
      <c r="E1036" s="210"/>
      <c r="F1036" s="84"/>
      <c r="G1036" s="84"/>
    </row>
    <row r="1038" spans="1:7">
      <c r="A1038" s="50"/>
      <c r="B1038" s="50"/>
      <c r="C1038" s="50"/>
      <c r="D1038" s="50"/>
      <c r="E1038" s="211"/>
      <c r="F1038" s="50"/>
      <c r="G1038" s="50"/>
    </row>
    <row r="1043" spans="1:7">
      <c r="A1043" s="83"/>
      <c r="B1043" s="84"/>
      <c r="C1043" s="84"/>
      <c r="D1043" s="84"/>
      <c r="E1043" s="210"/>
      <c r="F1043" s="84"/>
      <c r="G1043" s="84"/>
    </row>
    <row r="1045" spans="1:7">
      <c r="A1045" s="50"/>
      <c r="B1045" s="50"/>
      <c r="C1045" s="50"/>
      <c r="D1045" s="50"/>
      <c r="E1045" s="211"/>
      <c r="F1045" s="50"/>
      <c r="G1045" s="50"/>
    </row>
    <row r="1051" spans="1:7">
      <c r="A1051" s="83"/>
      <c r="B1051" s="85"/>
      <c r="C1051" s="85"/>
      <c r="D1051" s="85"/>
      <c r="E1051" s="212"/>
      <c r="F1051" s="85"/>
      <c r="G1051" s="85"/>
    </row>
    <row r="1054" spans="1:7">
      <c r="A1054" s="50"/>
      <c r="B1054" s="50"/>
      <c r="C1054" s="50"/>
      <c r="D1054" s="50"/>
      <c r="E1054" s="211"/>
      <c r="F1054" s="50"/>
      <c r="G1054" s="50"/>
    </row>
    <row r="1055" spans="1:7">
      <c r="A1055" s="50"/>
    </row>
    <row r="1056" spans="1:7">
      <c r="A1056" s="50"/>
      <c r="B1056" s="50"/>
      <c r="C1056" s="50"/>
      <c r="D1056" s="50"/>
      <c r="E1056" s="211"/>
      <c r="F1056" s="50"/>
      <c r="G1056" s="50"/>
    </row>
    <row r="1062" spans="1:7">
      <c r="A1062" s="50"/>
      <c r="B1062" s="84"/>
      <c r="C1062" s="84"/>
      <c r="D1062" s="84"/>
      <c r="E1062" s="210"/>
      <c r="F1062" s="84"/>
      <c r="G1062" s="84"/>
    </row>
    <row r="1064" spans="1:7">
      <c r="A1064" s="50"/>
      <c r="B1064" s="50"/>
      <c r="C1064" s="50"/>
      <c r="D1064" s="50"/>
      <c r="E1064" s="211"/>
      <c r="F1064" s="50"/>
      <c r="G1064" s="50"/>
    </row>
    <row r="1069" spans="1:7">
      <c r="A1069" s="83"/>
      <c r="B1069" s="84"/>
      <c r="C1069" s="84"/>
      <c r="D1069" s="84"/>
      <c r="E1069" s="210"/>
      <c r="F1069" s="84"/>
      <c r="G1069" s="84"/>
    </row>
    <row r="1071" spans="1:7">
      <c r="A1071" s="50"/>
      <c r="B1071" s="50"/>
      <c r="C1071" s="50"/>
      <c r="D1071" s="50"/>
      <c r="E1071" s="211"/>
      <c r="F1071" s="50"/>
      <c r="G1071" s="50"/>
    </row>
    <row r="1076" spans="1:7">
      <c r="A1076" s="83"/>
      <c r="B1076" s="84"/>
      <c r="C1076" s="84"/>
      <c r="D1076" s="84"/>
      <c r="E1076" s="210"/>
      <c r="F1076" s="84"/>
      <c r="G1076" s="84"/>
    </row>
    <row r="1078" spans="1:7">
      <c r="A1078" s="50"/>
      <c r="B1078" s="50"/>
      <c r="C1078" s="50"/>
      <c r="D1078" s="50"/>
      <c r="E1078" s="211"/>
      <c r="F1078" s="50"/>
      <c r="G1078" s="50"/>
    </row>
    <row r="1083" spans="1:7">
      <c r="A1083" s="83"/>
      <c r="B1083" s="84"/>
      <c r="C1083" s="84"/>
      <c r="D1083" s="84"/>
      <c r="E1083" s="210"/>
      <c r="F1083" s="84"/>
      <c r="G1083" s="84"/>
    </row>
    <row r="1085" spans="1:7">
      <c r="A1085" s="50"/>
      <c r="B1085" s="50"/>
      <c r="C1085" s="50"/>
      <c r="D1085" s="50"/>
      <c r="E1085" s="211"/>
      <c r="F1085" s="50"/>
      <c r="G1085" s="50"/>
    </row>
    <row r="1091" spans="1:7">
      <c r="A1091" s="83"/>
      <c r="B1091" s="85"/>
      <c r="C1091" s="85"/>
      <c r="D1091" s="85"/>
      <c r="E1091" s="212"/>
      <c r="F1091" s="85"/>
      <c r="G1091" s="85"/>
    </row>
    <row r="1094" spans="1:7">
      <c r="A1094" s="50"/>
      <c r="B1094" s="50"/>
      <c r="C1094" s="50"/>
      <c r="D1094" s="50"/>
      <c r="E1094" s="211"/>
      <c r="F1094" s="50"/>
      <c r="G1094" s="50"/>
    </row>
    <row r="1095" spans="1:7">
      <c r="A1095" s="50"/>
    </row>
    <row r="1096" spans="1:7">
      <c r="A1096" s="50"/>
      <c r="B1096" s="50"/>
      <c r="C1096" s="50"/>
      <c r="D1096" s="50"/>
      <c r="E1096" s="211"/>
      <c r="F1096" s="50"/>
      <c r="G1096" s="50"/>
    </row>
    <row r="1102" spans="1:7">
      <c r="A1102" s="50"/>
      <c r="B1102" s="84"/>
      <c r="C1102" s="84"/>
      <c r="D1102" s="84"/>
      <c r="E1102" s="210"/>
      <c r="F1102" s="84"/>
      <c r="G1102" s="84"/>
    </row>
    <row r="1104" spans="1:7">
      <c r="A1104" s="50"/>
      <c r="B1104" s="50"/>
      <c r="C1104" s="50"/>
      <c r="D1104" s="50"/>
      <c r="E1104" s="211"/>
      <c r="F1104" s="50"/>
      <c r="G1104" s="50"/>
    </row>
    <row r="1109" spans="1:7">
      <c r="A1109" s="83"/>
      <c r="B1109" s="84"/>
      <c r="C1109" s="84"/>
      <c r="D1109" s="84"/>
      <c r="E1109" s="210"/>
      <c r="F1109" s="84"/>
      <c r="G1109" s="84"/>
    </row>
    <row r="1111" spans="1:7">
      <c r="A1111" s="50"/>
      <c r="B1111" s="50"/>
      <c r="C1111" s="50"/>
      <c r="D1111" s="50"/>
      <c r="E1111" s="211"/>
      <c r="F1111" s="50"/>
      <c r="G1111" s="50"/>
    </row>
    <row r="1116" spans="1:7">
      <c r="A1116" s="83"/>
      <c r="B1116" s="84"/>
      <c r="C1116" s="84"/>
      <c r="D1116" s="84"/>
      <c r="E1116" s="210"/>
      <c r="F1116" s="84"/>
      <c r="G1116" s="84"/>
    </row>
    <row r="1118" spans="1:7">
      <c r="A1118" s="50"/>
      <c r="B1118" s="50"/>
      <c r="C1118" s="50"/>
      <c r="D1118" s="50"/>
      <c r="E1118" s="211"/>
      <c r="F1118" s="50"/>
      <c r="G1118" s="50"/>
    </row>
    <row r="1123" spans="1:7">
      <c r="A1123" s="83"/>
      <c r="B1123" s="84"/>
      <c r="C1123" s="84"/>
      <c r="D1123" s="84"/>
      <c r="E1123" s="210"/>
      <c r="F1123" s="84"/>
      <c r="G1123" s="84"/>
    </row>
    <row r="1125" spans="1:7">
      <c r="A1125" s="50"/>
      <c r="B1125" s="50"/>
      <c r="C1125" s="50"/>
      <c r="D1125" s="50"/>
      <c r="E1125" s="211"/>
      <c r="F1125" s="50"/>
      <c r="G1125" s="50"/>
    </row>
    <row r="1131" spans="1:7">
      <c r="A1131" s="83"/>
      <c r="B1131" s="85"/>
      <c r="C1131" s="85"/>
      <c r="D1131" s="85"/>
      <c r="E1131" s="212"/>
      <c r="F1131" s="85"/>
      <c r="G1131" s="85"/>
    </row>
    <row r="1134" spans="1:7">
      <c r="A1134" s="50"/>
      <c r="B1134" s="50"/>
      <c r="C1134" s="50"/>
      <c r="D1134" s="50"/>
      <c r="E1134" s="211"/>
      <c r="F1134" s="50"/>
      <c r="G1134" s="50"/>
    </row>
    <row r="1135" spans="1:7">
      <c r="A1135" s="50"/>
    </row>
    <row r="1136" spans="1:7">
      <c r="A1136" s="50"/>
      <c r="B1136" s="50"/>
      <c r="C1136" s="50"/>
      <c r="D1136" s="50"/>
      <c r="E1136" s="211"/>
      <c r="F1136" s="50"/>
      <c r="G1136" s="50"/>
    </row>
    <row r="1142" spans="1:7">
      <c r="A1142" s="50"/>
      <c r="B1142" s="84"/>
      <c r="C1142" s="84"/>
      <c r="D1142" s="84"/>
      <c r="E1142" s="210"/>
      <c r="F1142" s="84"/>
      <c r="G1142" s="84"/>
    </row>
    <row r="1144" spans="1:7">
      <c r="A1144" s="50"/>
      <c r="B1144" s="50"/>
      <c r="C1144" s="50"/>
      <c r="D1144" s="50"/>
      <c r="E1144" s="211"/>
      <c r="F1144" s="50"/>
      <c r="G1144" s="50"/>
    </row>
    <row r="1149" spans="1:7">
      <c r="A1149" s="83"/>
      <c r="B1149" s="84"/>
      <c r="C1149" s="84"/>
      <c r="D1149" s="84"/>
      <c r="E1149" s="210"/>
      <c r="F1149" s="84"/>
      <c r="G1149" s="84"/>
    </row>
    <row r="1151" spans="1:7">
      <c r="A1151" s="50"/>
      <c r="B1151" s="50"/>
      <c r="C1151" s="50"/>
      <c r="D1151" s="50"/>
      <c r="E1151" s="211"/>
      <c r="F1151" s="50"/>
      <c r="G1151" s="50"/>
    </row>
    <row r="1156" spans="1:7">
      <c r="A1156" s="83"/>
      <c r="B1156" s="84"/>
      <c r="C1156" s="84"/>
      <c r="D1156" s="84"/>
      <c r="E1156" s="210"/>
      <c r="F1156" s="84"/>
      <c r="G1156" s="84"/>
    </row>
    <row r="1158" spans="1:7">
      <c r="A1158" s="50"/>
      <c r="B1158" s="50"/>
      <c r="C1158" s="50"/>
      <c r="D1158" s="50"/>
      <c r="E1158" s="211"/>
      <c r="F1158" s="50"/>
      <c r="G1158" s="50"/>
    </row>
    <row r="1163" spans="1:7">
      <c r="A1163" s="83"/>
      <c r="B1163" s="84"/>
      <c r="C1163" s="84"/>
      <c r="D1163" s="84"/>
      <c r="E1163" s="210"/>
      <c r="F1163" s="84"/>
      <c r="G1163" s="84"/>
    </row>
    <row r="1165" spans="1:7">
      <c r="A1165" s="50"/>
      <c r="B1165" s="50"/>
      <c r="C1165" s="50"/>
      <c r="D1165" s="50"/>
      <c r="E1165" s="211"/>
      <c r="F1165" s="50"/>
      <c r="G1165" s="50"/>
    </row>
    <row r="1171" spans="1:7">
      <c r="A1171" s="83"/>
      <c r="B1171" s="85"/>
      <c r="C1171" s="85"/>
      <c r="D1171" s="85"/>
      <c r="E1171" s="212"/>
      <c r="F1171" s="85"/>
      <c r="G1171" s="85"/>
    </row>
    <row r="1174" spans="1:7">
      <c r="A1174" s="50"/>
      <c r="B1174" s="50"/>
      <c r="C1174" s="50"/>
      <c r="D1174" s="50"/>
      <c r="E1174" s="211"/>
      <c r="F1174" s="50"/>
      <c r="G1174" s="50"/>
    </row>
    <row r="1175" spans="1:7">
      <c r="A1175" s="50"/>
    </row>
    <row r="1176" spans="1:7">
      <c r="A1176" s="50"/>
      <c r="B1176" s="50"/>
      <c r="C1176" s="50"/>
      <c r="D1176" s="50"/>
      <c r="E1176" s="211"/>
      <c r="F1176" s="50"/>
      <c r="G1176" s="50"/>
    </row>
    <row r="1182" spans="1:7">
      <c r="A1182" s="50"/>
      <c r="B1182" s="84"/>
      <c r="C1182" s="84"/>
      <c r="D1182" s="84"/>
      <c r="E1182" s="210"/>
      <c r="F1182" s="84"/>
      <c r="G1182" s="84"/>
    </row>
    <row r="1184" spans="1:7">
      <c r="A1184" s="50"/>
      <c r="B1184" s="50"/>
      <c r="C1184" s="50"/>
      <c r="D1184" s="50"/>
      <c r="E1184" s="211"/>
      <c r="F1184" s="50"/>
      <c r="G1184" s="50"/>
    </row>
    <row r="1189" spans="1:7">
      <c r="A1189" s="83"/>
      <c r="B1189" s="84"/>
      <c r="C1189" s="84"/>
      <c r="D1189" s="84"/>
      <c r="E1189" s="210"/>
      <c r="F1189" s="84"/>
      <c r="G1189" s="84"/>
    </row>
    <row r="1191" spans="1:7">
      <c r="A1191" s="50"/>
      <c r="B1191" s="50"/>
      <c r="C1191" s="50"/>
      <c r="D1191" s="50"/>
      <c r="E1191" s="211"/>
      <c r="F1191" s="50"/>
      <c r="G1191" s="50"/>
    </row>
    <row r="1196" spans="1:7">
      <c r="A1196" s="83"/>
      <c r="B1196" s="84"/>
      <c r="C1196" s="84"/>
      <c r="D1196" s="84"/>
      <c r="E1196" s="210"/>
      <c r="F1196" s="84"/>
      <c r="G1196" s="84"/>
    </row>
    <row r="1198" spans="1:7">
      <c r="A1198" s="50"/>
      <c r="B1198" s="50"/>
      <c r="C1198" s="50"/>
      <c r="D1198" s="50"/>
      <c r="E1198" s="211"/>
      <c r="F1198" s="50"/>
      <c r="G1198" s="50"/>
    </row>
    <row r="1203" spans="1:7">
      <c r="A1203" s="83"/>
      <c r="B1203" s="84"/>
      <c r="C1203" s="84"/>
      <c r="D1203" s="84"/>
      <c r="E1203" s="210"/>
      <c r="F1203" s="84"/>
      <c r="G1203" s="84"/>
    </row>
    <row r="1205" spans="1:7">
      <c r="A1205" s="50"/>
      <c r="B1205" s="50"/>
      <c r="C1205" s="50"/>
      <c r="D1205" s="50"/>
      <c r="E1205" s="211"/>
      <c r="F1205" s="50"/>
      <c r="G1205" s="50"/>
    </row>
    <row r="1211" spans="1:7">
      <c r="A1211" s="83"/>
      <c r="B1211" s="85"/>
      <c r="C1211" s="85"/>
      <c r="D1211" s="85"/>
      <c r="E1211" s="212"/>
      <c r="F1211" s="85"/>
      <c r="G1211" s="85"/>
    </row>
    <row r="1214" spans="1:7">
      <c r="A1214" s="50"/>
      <c r="B1214" s="50"/>
      <c r="C1214" s="50"/>
      <c r="D1214" s="50"/>
      <c r="E1214" s="211"/>
      <c r="F1214" s="50"/>
      <c r="G1214" s="50"/>
    </row>
    <row r="1215" spans="1:7">
      <c r="A1215" s="50"/>
    </row>
    <row r="1216" spans="1:7">
      <c r="A1216" s="50"/>
      <c r="B1216" s="50"/>
      <c r="C1216" s="50"/>
      <c r="D1216" s="50"/>
      <c r="E1216" s="211"/>
      <c r="F1216" s="50"/>
      <c r="G1216" s="50"/>
    </row>
    <row r="1222" spans="1:7">
      <c r="A1222" s="50"/>
      <c r="B1222" s="84"/>
      <c r="C1222" s="84"/>
      <c r="D1222" s="84"/>
      <c r="E1222" s="210"/>
      <c r="F1222" s="84"/>
      <c r="G1222" s="84"/>
    </row>
    <row r="1224" spans="1:7">
      <c r="A1224" s="50"/>
      <c r="B1224" s="50"/>
      <c r="C1224" s="50"/>
      <c r="D1224" s="50"/>
      <c r="E1224" s="211"/>
      <c r="F1224" s="50"/>
      <c r="G1224" s="50"/>
    </row>
    <row r="1229" spans="1:7">
      <c r="A1229" s="83"/>
      <c r="B1229" s="84"/>
      <c r="C1229" s="84"/>
      <c r="D1229" s="84"/>
      <c r="E1229" s="210"/>
      <c r="F1229" s="84"/>
      <c r="G1229" s="84"/>
    </row>
    <row r="1231" spans="1:7">
      <c r="A1231" s="50"/>
      <c r="B1231" s="50"/>
      <c r="C1231" s="50"/>
      <c r="D1231" s="50"/>
      <c r="E1231" s="211"/>
      <c r="F1231" s="50"/>
      <c r="G1231" s="50"/>
    </row>
    <row r="1236" spans="1:7">
      <c r="A1236" s="83"/>
      <c r="B1236" s="84"/>
      <c r="C1236" s="84"/>
      <c r="D1236" s="84"/>
      <c r="E1236" s="210"/>
      <c r="F1236" s="84"/>
      <c r="G1236" s="84"/>
    </row>
    <row r="1238" spans="1:7">
      <c r="A1238" s="50"/>
      <c r="B1238" s="50"/>
      <c r="C1238" s="50"/>
      <c r="D1238" s="50"/>
      <c r="E1238" s="211"/>
      <c r="F1238" s="50"/>
      <c r="G1238" s="50"/>
    </row>
    <row r="1243" spans="1:7">
      <c r="A1243" s="83"/>
      <c r="B1243" s="84"/>
      <c r="C1243" s="84"/>
      <c r="D1243" s="84"/>
      <c r="E1243" s="210"/>
      <c r="F1243" s="84"/>
      <c r="G1243" s="84"/>
    </row>
    <row r="1245" spans="1:7">
      <c r="A1245" s="50"/>
      <c r="B1245" s="50"/>
      <c r="C1245" s="50"/>
      <c r="D1245" s="50"/>
      <c r="E1245" s="211"/>
      <c r="F1245" s="50"/>
      <c r="G1245" s="50"/>
    </row>
    <row r="1251" spans="1:7">
      <c r="A1251" s="83"/>
      <c r="B1251" s="85"/>
      <c r="C1251" s="85"/>
      <c r="D1251" s="85"/>
      <c r="E1251" s="212"/>
      <c r="F1251" s="85"/>
      <c r="G1251" s="85"/>
    </row>
    <row r="1254" spans="1:7">
      <c r="A1254" s="50"/>
      <c r="B1254" s="50"/>
      <c r="C1254" s="50"/>
      <c r="D1254" s="50"/>
      <c r="E1254" s="211"/>
      <c r="F1254" s="50"/>
      <c r="G1254" s="50"/>
    </row>
    <row r="1255" spans="1:7">
      <c r="A1255" s="50"/>
    </row>
    <row r="1256" spans="1:7">
      <c r="A1256" s="50"/>
      <c r="B1256" s="50"/>
      <c r="C1256" s="50"/>
      <c r="D1256" s="50"/>
      <c r="E1256" s="211"/>
      <c r="F1256" s="50"/>
      <c r="G1256" s="50"/>
    </row>
    <row r="1262" spans="1:7">
      <c r="A1262" s="50"/>
      <c r="B1262" s="84"/>
      <c r="C1262" s="84"/>
      <c r="D1262" s="84"/>
      <c r="E1262" s="210"/>
      <c r="F1262" s="84"/>
      <c r="G1262" s="84"/>
    </row>
    <row r="1264" spans="1:7">
      <c r="A1264" s="50"/>
      <c r="B1264" s="50"/>
      <c r="C1264" s="50"/>
      <c r="D1264" s="50"/>
      <c r="E1264" s="211"/>
      <c r="F1264" s="50"/>
      <c r="G1264" s="50"/>
    </row>
    <row r="1269" spans="1:7">
      <c r="A1269" s="83"/>
      <c r="B1269" s="84"/>
      <c r="C1269" s="84"/>
      <c r="D1269" s="84"/>
      <c r="E1269" s="210"/>
      <c r="F1269" s="84"/>
      <c r="G1269" s="84"/>
    </row>
    <row r="1271" spans="1:7">
      <c r="A1271" s="50"/>
      <c r="B1271" s="50"/>
      <c r="C1271" s="50"/>
      <c r="D1271" s="50"/>
      <c r="E1271" s="211"/>
      <c r="F1271" s="50"/>
      <c r="G1271" s="50"/>
    </row>
    <row r="1276" spans="1:7">
      <c r="A1276" s="83"/>
      <c r="B1276" s="84"/>
      <c r="C1276" s="84"/>
      <c r="D1276" s="84"/>
      <c r="E1276" s="210"/>
      <c r="F1276" s="84"/>
      <c r="G1276" s="84"/>
    </row>
    <row r="1278" spans="1:7">
      <c r="A1278" s="50"/>
      <c r="B1278" s="50"/>
      <c r="C1278" s="50"/>
      <c r="D1278" s="50"/>
      <c r="E1278" s="211"/>
      <c r="F1278" s="50"/>
      <c r="G1278" s="50"/>
    </row>
    <row r="1283" spans="1:7">
      <c r="A1283" s="83"/>
      <c r="B1283" s="84"/>
      <c r="C1283" s="84"/>
      <c r="D1283" s="84"/>
      <c r="E1283" s="210"/>
      <c r="F1283" s="84"/>
      <c r="G1283" s="84"/>
    </row>
    <row r="1285" spans="1:7">
      <c r="A1285" s="50"/>
      <c r="B1285" s="50"/>
      <c r="C1285" s="50"/>
      <c r="D1285" s="50"/>
      <c r="E1285" s="211"/>
      <c r="F1285" s="50"/>
      <c r="G1285" s="50"/>
    </row>
    <row r="1291" spans="1:7">
      <c r="A1291" s="83"/>
      <c r="B1291" s="85"/>
      <c r="C1291" s="85"/>
      <c r="D1291" s="85"/>
      <c r="E1291" s="212"/>
      <c r="F1291" s="85"/>
      <c r="G1291" s="85"/>
    </row>
    <row r="1294" spans="1:7">
      <c r="A1294" s="50"/>
      <c r="B1294" s="50"/>
      <c r="C1294" s="50"/>
      <c r="D1294" s="50"/>
      <c r="E1294" s="211"/>
      <c r="F1294" s="50"/>
      <c r="G1294" s="50"/>
    </row>
    <row r="1295" spans="1:7">
      <c r="A1295" s="50"/>
    </row>
    <row r="1296" spans="1:7">
      <c r="A1296" s="50"/>
      <c r="B1296" s="50"/>
      <c r="C1296" s="50"/>
      <c r="D1296" s="50"/>
      <c r="E1296" s="211"/>
      <c r="F1296" s="50"/>
      <c r="G1296" s="50"/>
    </row>
    <row r="1302" spans="1:7">
      <c r="A1302" s="50"/>
      <c r="B1302" s="84"/>
      <c r="C1302" s="84"/>
      <c r="D1302" s="84"/>
      <c r="E1302" s="210"/>
      <c r="F1302" s="84"/>
      <c r="G1302" s="84"/>
    </row>
    <row r="1304" spans="1:7">
      <c r="A1304" s="50"/>
      <c r="B1304" s="50"/>
      <c r="C1304" s="50"/>
      <c r="D1304" s="50"/>
      <c r="E1304" s="211"/>
      <c r="F1304" s="50"/>
      <c r="G1304" s="50"/>
    </row>
    <row r="1309" spans="1:7">
      <c r="A1309" s="83"/>
      <c r="B1309" s="84"/>
      <c r="C1309" s="84"/>
      <c r="D1309" s="84"/>
      <c r="E1309" s="210"/>
      <c r="F1309" s="84"/>
      <c r="G1309" s="84"/>
    </row>
    <row r="1311" spans="1:7">
      <c r="A1311" s="50"/>
      <c r="B1311" s="50"/>
      <c r="C1311" s="50"/>
      <c r="D1311" s="50"/>
      <c r="E1311" s="211"/>
      <c r="F1311" s="50"/>
      <c r="G1311" s="50"/>
    </row>
    <row r="1316" spans="1:7">
      <c r="A1316" s="83"/>
      <c r="B1316" s="84"/>
      <c r="C1316" s="84"/>
      <c r="D1316" s="84"/>
      <c r="E1316" s="210"/>
      <c r="F1316" s="84"/>
      <c r="G1316" s="84"/>
    </row>
    <row r="1318" spans="1:7">
      <c r="A1318" s="50"/>
      <c r="B1318" s="50"/>
      <c r="C1318" s="50"/>
      <c r="D1318" s="50"/>
      <c r="E1318" s="211"/>
      <c r="F1318" s="50"/>
      <c r="G1318" s="50"/>
    </row>
    <row r="1323" spans="1:7">
      <c r="A1323" s="83"/>
      <c r="B1323" s="84"/>
      <c r="C1323" s="84"/>
      <c r="D1323" s="84"/>
      <c r="E1323" s="210"/>
      <c r="F1323" s="84"/>
      <c r="G1323" s="84"/>
    </row>
    <row r="1325" spans="1:7">
      <c r="A1325" s="50"/>
      <c r="B1325" s="50"/>
      <c r="C1325" s="50"/>
      <c r="D1325" s="50"/>
      <c r="E1325" s="211"/>
      <c r="F1325" s="50"/>
      <c r="G1325" s="50"/>
    </row>
    <row r="1331" spans="1:7">
      <c r="A1331" s="83"/>
      <c r="B1331" s="85"/>
      <c r="C1331" s="85"/>
      <c r="D1331" s="85"/>
      <c r="E1331" s="212"/>
      <c r="F1331" s="85"/>
      <c r="G1331" s="85"/>
    </row>
    <row r="1334" spans="1:7">
      <c r="A1334" s="50"/>
      <c r="B1334" s="50"/>
      <c r="C1334" s="50"/>
      <c r="D1334" s="50"/>
      <c r="E1334" s="211"/>
      <c r="F1334" s="50"/>
      <c r="G1334" s="50"/>
    </row>
    <row r="1335" spans="1:7">
      <c r="A1335" s="50"/>
    </row>
    <row r="1336" spans="1:7">
      <c r="A1336" s="50"/>
      <c r="B1336" s="50"/>
      <c r="C1336" s="50"/>
      <c r="D1336" s="50"/>
      <c r="E1336" s="211"/>
      <c r="F1336" s="50"/>
      <c r="G1336" s="50"/>
    </row>
    <row r="1342" spans="1:7">
      <c r="A1342" s="50"/>
      <c r="B1342" s="84"/>
      <c r="C1342" s="84"/>
      <c r="D1342" s="84"/>
      <c r="E1342" s="210"/>
      <c r="F1342" s="84"/>
      <c r="G1342" s="84"/>
    </row>
    <row r="1344" spans="1:7">
      <c r="A1344" s="50"/>
      <c r="B1344" s="50"/>
      <c r="C1344" s="50"/>
      <c r="D1344" s="50"/>
      <c r="E1344" s="211"/>
      <c r="F1344" s="50"/>
      <c r="G1344" s="50"/>
    </row>
    <row r="1349" spans="1:7">
      <c r="A1349" s="83"/>
      <c r="B1349" s="84"/>
      <c r="C1349" s="84"/>
      <c r="D1349" s="84"/>
      <c r="E1349" s="210"/>
      <c r="F1349" s="84"/>
      <c r="G1349" s="84"/>
    </row>
    <row r="1351" spans="1:7">
      <c r="A1351" s="50"/>
      <c r="B1351" s="50"/>
      <c r="C1351" s="50"/>
      <c r="D1351" s="50"/>
      <c r="E1351" s="211"/>
      <c r="F1351" s="50"/>
      <c r="G1351" s="50"/>
    </row>
    <row r="1356" spans="1:7">
      <c r="A1356" s="83"/>
      <c r="B1356" s="84"/>
      <c r="C1356" s="84"/>
      <c r="D1356" s="84"/>
      <c r="E1356" s="210"/>
      <c r="F1356" s="84"/>
      <c r="G1356" s="84"/>
    </row>
    <row r="1358" spans="1:7">
      <c r="A1358" s="50"/>
      <c r="B1358" s="50"/>
      <c r="C1358" s="50"/>
      <c r="D1358" s="50"/>
      <c r="E1358" s="211"/>
      <c r="F1358" s="50"/>
      <c r="G1358" s="50"/>
    </row>
    <row r="1363" spans="1:7">
      <c r="A1363" s="83"/>
      <c r="B1363" s="84"/>
      <c r="C1363" s="84"/>
      <c r="D1363" s="84"/>
      <c r="E1363" s="210"/>
      <c r="F1363" s="84"/>
      <c r="G1363" s="84"/>
    </row>
    <row r="1365" spans="1:7">
      <c r="A1365" s="50"/>
      <c r="B1365" s="50"/>
      <c r="C1365" s="50"/>
      <c r="D1365" s="50"/>
      <c r="E1365" s="211"/>
      <c r="F1365" s="50"/>
      <c r="G1365" s="50"/>
    </row>
    <row r="1371" spans="1:7">
      <c r="A1371" s="83"/>
      <c r="B1371" s="85"/>
      <c r="C1371" s="85"/>
      <c r="D1371" s="85"/>
      <c r="E1371" s="212"/>
      <c r="F1371" s="85"/>
      <c r="G1371" s="85"/>
    </row>
    <row r="1374" spans="1:7">
      <c r="A1374" s="50"/>
      <c r="B1374" s="50"/>
      <c r="C1374" s="50"/>
      <c r="D1374" s="50"/>
      <c r="E1374" s="211"/>
      <c r="F1374" s="50"/>
      <c r="G1374" s="50"/>
    </row>
    <row r="1375" spans="1:7">
      <c r="A1375" s="50"/>
    </row>
    <row r="1376" spans="1:7">
      <c r="A1376" s="50"/>
      <c r="B1376" s="50"/>
      <c r="C1376" s="50"/>
      <c r="D1376" s="50"/>
      <c r="E1376" s="211"/>
      <c r="F1376" s="50"/>
      <c r="G1376" s="50"/>
    </row>
    <row r="1382" spans="1:7">
      <c r="A1382" s="50"/>
      <c r="B1382" s="84"/>
      <c r="C1382" s="84"/>
      <c r="D1382" s="84"/>
      <c r="E1382" s="210"/>
      <c r="F1382" s="84"/>
      <c r="G1382" s="84"/>
    </row>
    <row r="1384" spans="1:7">
      <c r="A1384" s="50"/>
      <c r="B1384" s="50"/>
      <c r="C1384" s="50"/>
      <c r="D1384" s="50"/>
      <c r="E1384" s="211"/>
      <c r="F1384" s="50"/>
      <c r="G1384" s="50"/>
    </row>
    <row r="1389" spans="1:7">
      <c r="A1389" s="83"/>
      <c r="B1389" s="84"/>
      <c r="C1389" s="84"/>
      <c r="D1389" s="84"/>
      <c r="E1389" s="210"/>
      <c r="F1389" s="84"/>
      <c r="G1389" s="84"/>
    </row>
    <row r="1391" spans="1:7">
      <c r="A1391" s="50"/>
      <c r="B1391" s="50"/>
      <c r="C1391" s="50"/>
      <c r="D1391" s="50"/>
      <c r="E1391" s="211"/>
      <c r="F1391" s="50"/>
      <c r="G1391" s="50"/>
    </row>
    <row r="1396" spans="1:7">
      <c r="A1396" s="83"/>
      <c r="B1396" s="84"/>
      <c r="C1396" s="84"/>
      <c r="D1396" s="84"/>
      <c r="E1396" s="210"/>
      <c r="F1396" s="84"/>
      <c r="G1396" s="84"/>
    </row>
    <row r="1398" spans="1:7">
      <c r="A1398" s="50"/>
      <c r="B1398" s="50"/>
      <c r="C1398" s="50"/>
      <c r="D1398" s="50"/>
      <c r="E1398" s="211"/>
      <c r="F1398" s="50"/>
      <c r="G1398" s="50"/>
    </row>
    <row r="1403" spans="1:7">
      <c r="A1403" s="83"/>
      <c r="B1403" s="84"/>
      <c r="C1403" s="84"/>
      <c r="D1403" s="84"/>
      <c r="E1403" s="210"/>
      <c r="F1403" s="84"/>
      <c r="G1403" s="84"/>
    </row>
    <row r="1405" spans="1:7">
      <c r="A1405" s="50"/>
      <c r="B1405" s="50"/>
      <c r="C1405" s="50"/>
      <c r="D1405" s="50"/>
      <c r="E1405" s="211"/>
      <c r="F1405" s="50"/>
      <c r="G1405" s="50"/>
    </row>
    <row r="1411" spans="1:7">
      <c r="A1411" s="83"/>
      <c r="B1411" s="85"/>
      <c r="C1411" s="85"/>
      <c r="D1411" s="85"/>
      <c r="E1411" s="212"/>
      <c r="F1411" s="85"/>
      <c r="G1411" s="85"/>
    </row>
    <row r="1414" spans="1:7">
      <c r="A1414" s="50"/>
      <c r="B1414" s="50"/>
      <c r="C1414" s="50"/>
      <c r="D1414" s="50"/>
      <c r="E1414" s="211"/>
      <c r="F1414" s="50"/>
      <c r="G1414" s="50"/>
    </row>
    <row r="1415" spans="1:7">
      <c r="A1415" s="50"/>
    </row>
    <row r="1416" spans="1:7">
      <c r="A1416" s="50"/>
      <c r="B1416" s="50"/>
      <c r="C1416" s="50"/>
      <c r="D1416" s="50"/>
      <c r="E1416" s="211"/>
      <c r="F1416" s="50"/>
      <c r="G1416" s="50"/>
    </row>
    <row r="1422" spans="1:7">
      <c r="A1422" s="50"/>
      <c r="B1422" s="84"/>
      <c r="C1422" s="84"/>
      <c r="D1422" s="84"/>
      <c r="E1422" s="210"/>
      <c r="F1422" s="84"/>
      <c r="G1422" s="84"/>
    </row>
    <row r="1424" spans="1:7">
      <c r="A1424" s="50"/>
      <c r="B1424" s="50"/>
      <c r="C1424" s="50"/>
      <c r="D1424" s="50"/>
      <c r="E1424" s="211"/>
      <c r="F1424" s="50"/>
      <c r="G1424" s="50"/>
    </row>
    <row r="1429" spans="1:7">
      <c r="A1429" s="83"/>
      <c r="B1429" s="84"/>
      <c r="C1429" s="84"/>
      <c r="D1429" s="84"/>
      <c r="E1429" s="210"/>
      <c r="F1429" s="84"/>
      <c r="G1429" s="84"/>
    </row>
    <row r="1431" spans="1:7">
      <c r="A1431" s="50"/>
      <c r="B1431" s="50"/>
      <c r="C1431" s="50"/>
      <c r="D1431" s="50"/>
      <c r="E1431" s="211"/>
      <c r="F1431" s="50"/>
      <c r="G1431" s="50"/>
    </row>
    <row r="1436" spans="1:7">
      <c r="A1436" s="83"/>
      <c r="B1436" s="84"/>
      <c r="C1436" s="84"/>
      <c r="D1436" s="84"/>
      <c r="E1436" s="210"/>
      <c r="F1436" s="84"/>
      <c r="G1436" s="84"/>
    </row>
    <row r="1438" spans="1:7">
      <c r="A1438" s="50"/>
      <c r="B1438" s="50"/>
      <c r="C1438" s="50"/>
      <c r="D1438" s="50"/>
      <c r="E1438" s="211"/>
      <c r="F1438" s="50"/>
      <c r="G1438" s="50"/>
    </row>
    <row r="1443" spans="1:7">
      <c r="A1443" s="83"/>
      <c r="B1443" s="84"/>
      <c r="C1443" s="84"/>
      <c r="D1443" s="84"/>
      <c r="E1443" s="210"/>
      <c r="F1443" s="84"/>
      <c r="G1443" s="84"/>
    </row>
    <row r="1445" spans="1:7">
      <c r="A1445" s="50"/>
      <c r="B1445" s="50"/>
      <c r="C1445" s="50"/>
      <c r="D1445" s="50"/>
      <c r="E1445" s="211"/>
      <c r="F1445" s="50"/>
      <c r="G1445" s="50"/>
    </row>
    <row r="1451" spans="1:7">
      <c r="A1451" s="83"/>
      <c r="B1451" s="85"/>
      <c r="C1451" s="85"/>
      <c r="D1451" s="85"/>
      <c r="E1451" s="212"/>
      <c r="F1451" s="85"/>
      <c r="G1451" s="85"/>
    </row>
    <row r="1454" spans="1:7">
      <c r="A1454" s="50"/>
      <c r="B1454" s="50"/>
      <c r="C1454" s="50"/>
      <c r="D1454" s="50"/>
      <c r="E1454" s="211"/>
      <c r="F1454" s="50"/>
      <c r="G1454" s="50"/>
    </row>
    <row r="1455" spans="1:7">
      <c r="A1455" s="50"/>
    </row>
    <row r="1456" spans="1:7">
      <c r="A1456" s="50"/>
      <c r="B1456" s="50"/>
      <c r="C1456" s="50"/>
      <c r="D1456" s="50"/>
      <c r="E1456" s="211"/>
      <c r="F1456" s="50"/>
      <c r="G1456" s="50"/>
    </row>
    <row r="1462" spans="1:7">
      <c r="A1462" s="50"/>
      <c r="B1462" s="84"/>
      <c r="C1462" s="84"/>
      <c r="D1462" s="84"/>
      <c r="E1462" s="210"/>
      <c r="F1462" s="84"/>
      <c r="G1462" s="84"/>
    </row>
    <row r="1464" spans="1:7">
      <c r="A1464" s="50"/>
      <c r="B1464" s="50"/>
      <c r="C1464" s="50"/>
      <c r="D1464" s="50"/>
      <c r="E1464" s="211"/>
      <c r="F1464" s="50"/>
      <c r="G1464" s="50"/>
    </row>
    <row r="1469" spans="1:7">
      <c r="A1469" s="83"/>
      <c r="B1469" s="84"/>
      <c r="C1469" s="84"/>
      <c r="D1469" s="84"/>
      <c r="E1469" s="210"/>
      <c r="F1469" s="84"/>
      <c r="G1469" s="84"/>
    </row>
    <row r="1471" spans="1:7">
      <c r="A1471" s="50"/>
      <c r="B1471" s="50"/>
      <c r="C1471" s="50"/>
      <c r="D1471" s="50"/>
      <c r="E1471" s="211"/>
      <c r="F1471" s="50"/>
      <c r="G1471" s="50"/>
    </row>
    <row r="1476" spans="1:7">
      <c r="A1476" s="83"/>
      <c r="B1476" s="84"/>
      <c r="C1476" s="84"/>
      <c r="D1476" s="84"/>
      <c r="E1476" s="210"/>
      <c r="F1476" s="84"/>
      <c r="G1476" s="84"/>
    </row>
    <row r="1478" spans="1:7">
      <c r="A1478" s="50"/>
      <c r="B1478" s="50"/>
      <c r="C1478" s="50"/>
      <c r="D1478" s="50"/>
      <c r="E1478" s="211"/>
      <c r="F1478" s="50"/>
      <c r="G1478" s="50"/>
    </row>
    <row r="1483" spans="1:7">
      <c r="A1483" s="83"/>
      <c r="B1483" s="84"/>
      <c r="C1483" s="84"/>
      <c r="D1483" s="84"/>
      <c r="E1483" s="210"/>
      <c r="F1483" s="84"/>
      <c r="G1483" s="84"/>
    </row>
    <row r="1485" spans="1:7">
      <c r="A1485" s="50"/>
      <c r="B1485" s="50"/>
      <c r="C1485" s="50"/>
      <c r="D1485" s="50"/>
      <c r="E1485" s="211"/>
      <c r="F1485" s="50"/>
      <c r="G1485" s="50"/>
    </row>
    <row r="1491" spans="1:7">
      <c r="A1491" s="83"/>
      <c r="B1491" s="85"/>
      <c r="C1491" s="85"/>
      <c r="D1491" s="85"/>
      <c r="E1491" s="212"/>
      <c r="F1491" s="85"/>
      <c r="G1491" s="85"/>
    </row>
    <row r="1494" spans="1:7">
      <c r="A1494" s="50"/>
      <c r="B1494" s="50"/>
      <c r="C1494" s="50"/>
      <c r="D1494" s="50"/>
      <c r="E1494" s="211"/>
      <c r="F1494" s="50"/>
      <c r="G1494" s="50"/>
    </row>
    <row r="1495" spans="1:7">
      <c r="A1495" s="50"/>
    </row>
    <row r="1496" spans="1:7">
      <c r="A1496" s="50"/>
      <c r="B1496" s="50"/>
      <c r="C1496" s="50"/>
      <c r="D1496" s="50"/>
      <c r="E1496" s="211"/>
      <c r="F1496" s="50"/>
      <c r="G1496" s="50"/>
    </row>
    <row r="1502" spans="1:7">
      <c r="A1502" s="50"/>
      <c r="B1502" s="84"/>
      <c r="C1502" s="84"/>
      <c r="D1502" s="84"/>
      <c r="E1502" s="210"/>
      <c r="F1502" s="84"/>
      <c r="G1502" s="84"/>
    </row>
    <row r="1504" spans="1:7">
      <c r="A1504" s="50"/>
      <c r="B1504" s="50"/>
      <c r="C1504" s="50"/>
      <c r="D1504" s="50"/>
      <c r="E1504" s="211"/>
      <c r="F1504" s="50"/>
      <c r="G1504" s="50"/>
    </row>
    <row r="1509" spans="1:7">
      <c r="A1509" s="83"/>
      <c r="B1509" s="84"/>
      <c r="C1509" s="84"/>
      <c r="D1509" s="84"/>
      <c r="E1509" s="210"/>
      <c r="F1509" s="84"/>
      <c r="G1509" s="84"/>
    </row>
    <row r="1511" spans="1:7">
      <c r="A1511" s="50"/>
      <c r="B1511" s="50"/>
      <c r="C1511" s="50"/>
      <c r="D1511" s="50"/>
      <c r="E1511" s="211"/>
      <c r="F1511" s="50"/>
      <c r="G1511" s="50"/>
    </row>
    <row r="1516" spans="1:7">
      <c r="A1516" s="83"/>
      <c r="B1516" s="84"/>
      <c r="C1516" s="84"/>
      <c r="D1516" s="84"/>
      <c r="E1516" s="210"/>
      <c r="F1516" s="84"/>
      <c r="G1516" s="84"/>
    </row>
    <row r="1518" spans="1:7">
      <c r="A1518" s="50"/>
      <c r="B1518" s="50"/>
      <c r="C1518" s="50"/>
      <c r="D1518" s="50"/>
      <c r="E1518" s="211"/>
      <c r="F1518" s="50"/>
      <c r="G1518" s="50"/>
    </row>
    <row r="1523" spans="1:7">
      <c r="A1523" s="83"/>
      <c r="B1523" s="84"/>
      <c r="C1523" s="84"/>
      <c r="D1523" s="84"/>
      <c r="E1523" s="210"/>
      <c r="F1523" s="84"/>
      <c r="G1523" s="84"/>
    </row>
    <row r="1525" spans="1:7">
      <c r="A1525" s="50"/>
      <c r="B1525" s="50"/>
      <c r="C1525" s="50"/>
      <c r="D1525" s="50"/>
      <c r="E1525" s="211"/>
      <c r="F1525" s="50"/>
      <c r="G1525" s="50"/>
    </row>
    <row r="1531" spans="1:7">
      <c r="A1531" s="83"/>
      <c r="B1531" s="85"/>
      <c r="C1531" s="85"/>
      <c r="D1531" s="85"/>
      <c r="E1531" s="212"/>
      <c r="F1531" s="85"/>
      <c r="G1531" s="85"/>
    </row>
  </sheetData>
  <customSheetViews>
    <customSheetView guid="{AE6F0488-1842-4C89-B05F-A836B633FB8F}" scale="75" showPageBreaks="1" hiddenColumns="1" showRuler="0">
      <pane xSplit="1" ySplit="3" topLeftCell="F35" activePane="bottomRight" state="frozen"/>
      <selection pane="bottomRight" activeCell="F36" sqref="F36"/>
      <rowBreaks count="5" manualBreakCount="5">
        <brk id="49" max="15" man="1"/>
        <brk id="89" max="15" man="1"/>
        <brk id="134" max="15" man="1"/>
        <brk id="178" max="15" man="1"/>
        <brk id="223" max="15" man="1"/>
      </rowBreaks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J4" activePane="bottomRight" state="frozen"/>
      <selection pane="bottomRight" activeCell="Q43" sqref="Q43"/>
      <rowBreaks count="5" manualBreakCount="5">
        <brk id="49" max="15" man="1"/>
        <brk id="89" max="15" man="1"/>
        <brk id="134" max="15" man="1"/>
        <brk id="178" max="15" man="1"/>
        <brk id="223" max="15" man="1"/>
      </rowBreaks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13" activePane="bottomRight" state="frozen"/>
      <selection pane="bottomRight" activeCell="E31" sqref="E31"/>
      <rowBreaks count="5" manualBreakCount="5">
        <brk id="49" max="15" man="1"/>
        <brk id="89" max="15" man="1"/>
        <brk id="134" max="15" man="1"/>
        <brk id="178" max="15" man="1"/>
        <brk id="223" max="15" man="1"/>
      </rowBreaks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6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6" manualBreakCount="6">
    <brk id="58" max="16" man="1"/>
    <brk id="112" max="16" man="1"/>
    <brk id="160" max="16" man="1"/>
    <brk id="208" max="16" man="1"/>
    <brk id="256" max="16" man="1"/>
    <brk id="268" max="16" man="1"/>
  </rowBreaks>
  <colBreaks count="1" manualBreakCount="1">
    <brk id="17" max="266" man="1"/>
  </colBreaks>
  <legacy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8" tint="0.79998168889431442"/>
    <pageSetUpPr fitToPage="1"/>
  </sheetPr>
  <dimension ref="A1:Y127"/>
  <sheetViews>
    <sheetView view="pageBreakPreview" zoomScale="70" zoomScaleNormal="75" zoomScaleSheetLayoutView="7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.75"/>
  <cols>
    <col min="1" max="1" width="32.28515625" style="47" customWidth="1"/>
    <col min="2" max="2" width="13.5703125" style="48" customWidth="1"/>
    <col min="3" max="3" width="11.7109375" style="48" customWidth="1"/>
    <col min="4" max="4" width="11.5703125" style="43" customWidth="1"/>
    <col min="5" max="5" width="12.7109375" style="173" hidden="1" customWidth="1"/>
    <col min="6" max="6" width="16.85546875" style="43" customWidth="1"/>
    <col min="7" max="7" width="17" style="53" customWidth="1"/>
    <col min="8" max="8" width="18.42578125" style="53" customWidth="1"/>
    <col min="9" max="9" width="18" style="53" customWidth="1"/>
    <col min="10" max="10" width="16.85546875" style="53" customWidth="1"/>
    <col min="11" max="11" width="15.85546875" style="53" customWidth="1"/>
    <col min="12" max="12" width="18.28515625" style="53" customWidth="1"/>
    <col min="13" max="13" width="17.28515625" style="53" customWidth="1"/>
    <col min="14" max="14" width="19.5703125" style="53" customWidth="1"/>
    <col min="15" max="16" width="15.85546875" style="53" customWidth="1"/>
    <col min="17" max="17" width="20.28515625" style="53" customWidth="1"/>
    <col min="18" max="18" width="9.140625" style="49"/>
    <col min="19" max="19" width="13.28515625" style="49" bestFit="1" customWidth="1"/>
    <col min="20" max="20" width="14.42578125" style="49" customWidth="1"/>
    <col min="21" max="21" width="14.140625" style="49" customWidth="1"/>
    <col min="22" max="22" width="15.7109375" style="49" customWidth="1"/>
    <col min="23" max="24" width="17.28515625" style="49" customWidth="1"/>
    <col min="25" max="16384" width="9.140625" style="49"/>
  </cols>
  <sheetData>
    <row r="1" spans="1:25" ht="21.75" customHeight="1">
      <c r="A1" s="1" t="s">
        <v>216</v>
      </c>
    </row>
    <row r="2" spans="1:25" ht="15.75" customHeight="1">
      <c r="A2" s="54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93.7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51"/>
      <c r="C4" s="51"/>
      <c r="D4" s="52"/>
      <c r="E4" s="203"/>
      <c r="F4" s="52"/>
    </row>
    <row r="5" spans="1:25">
      <c r="A5" s="54" t="s">
        <v>10</v>
      </c>
      <c r="B5" s="51"/>
      <c r="C5" s="51"/>
      <c r="D5" s="52"/>
      <c r="E5" s="203"/>
      <c r="F5" s="52"/>
    </row>
    <row r="6" spans="1:25">
      <c r="A6" s="50"/>
      <c r="B6" s="51"/>
      <c r="C6" s="51"/>
      <c r="D6" s="52"/>
      <c r="E6" s="203"/>
      <c r="F6" s="52"/>
    </row>
    <row r="7" spans="1:25">
      <c r="A7" s="47" t="str">
        <f>A17</f>
        <v>STATE OF NEVADA</v>
      </c>
      <c r="B7" s="48">
        <f t="shared" ref="B7:Q7" si="0">B26</f>
        <v>0.17</v>
      </c>
      <c r="C7" s="48">
        <f t="shared" si="0"/>
        <v>0</v>
      </c>
      <c r="D7" s="43">
        <f t="shared" si="0"/>
        <v>10681</v>
      </c>
      <c r="F7" s="43">
        <f t="shared" si="0"/>
        <v>643973840.86117649</v>
      </c>
      <c r="G7" s="53">
        <f t="shared" si="0"/>
        <v>24022.269999999997</v>
      </c>
      <c r="H7" s="53">
        <f t="shared" si="0"/>
        <v>1076805.6868000003</v>
      </c>
      <c r="I7" s="53">
        <f t="shared" si="0"/>
        <v>0</v>
      </c>
      <c r="J7" s="53">
        <f t="shared" si="0"/>
        <v>6035.28</v>
      </c>
      <c r="K7" s="53">
        <f t="shared" si="0"/>
        <v>25.31</v>
      </c>
      <c r="L7" s="53">
        <f t="shared" si="0"/>
        <v>1094817.9868000001</v>
      </c>
      <c r="M7" s="53">
        <f t="shared" si="0"/>
        <v>30580.25</v>
      </c>
      <c r="N7" s="53">
        <f t="shared" si="0"/>
        <v>1064237.7368000001</v>
      </c>
      <c r="O7" s="53">
        <f t="shared" si="0"/>
        <v>0</v>
      </c>
      <c r="P7" s="53">
        <f>P26</f>
        <v>16354.29</v>
      </c>
      <c r="Q7" s="53">
        <f t="shared" si="0"/>
        <v>1047883.4468000002</v>
      </c>
      <c r="W7" s="174" t="s">
        <v>15</v>
      </c>
      <c r="X7" s="284">
        <f>Q19+Q44+Q63+Q75+Q89+Q101+Q113</f>
        <v>5031711.8</v>
      </c>
      <c r="Y7" s="390" t="s">
        <v>461</v>
      </c>
    </row>
    <row r="8" spans="1:25">
      <c r="A8" s="47" t="str">
        <f>A29</f>
        <v>GENERAL COUNTY</v>
      </c>
      <c r="B8" s="48">
        <f t="shared" ref="B8:Q8" si="1">B51</f>
        <v>1.3568000000000002</v>
      </c>
      <c r="C8" s="48">
        <f t="shared" si="1"/>
        <v>0</v>
      </c>
      <c r="D8" s="43">
        <f t="shared" si="1"/>
        <v>10681</v>
      </c>
      <c r="F8" s="43">
        <f t="shared" si="1"/>
        <v>643973859.08745277</v>
      </c>
      <c r="G8" s="53">
        <f t="shared" si="1"/>
        <v>191726.65</v>
      </c>
      <c r="H8" s="53">
        <f t="shared" si="1"/>
        <v>8594057.3998720013</v>
      </c>
      <c r="I8" s="53">
        <f t="shared" si="1"/>
        <v>0</v>
      </c>
      <c r="J8" s="53">
        <f t="shared" si="1"/>
        <v>48168.460000000006</v>
      </c>
      <c r="K8" s="53">
        <f t="shared" si="1"/>
        <v>202.04</v>
      </c>
      <c r="L8" s="53">
        <f t="shared" si="1"/>
        <v>8737817.6298720017</v>
      </c>
      <c r="M8" s="53">
        <f t="shared" si="1"/>
        <v>244866.16</v>
      </c>
      <c r="N8" s="53">
        <f t="shared" si="1"/>
        <v>8492951.4698720016</v>
      </c>
      <c r="O8" s="53">
        <f t="shared" si="1"/>
        <v>0</v>
      </c>
      <c r="P8" s="53">
        <f>P51</f>
        <v>130526.45</v>
      </c>
      <c r="Q8" s="53">
        <f t="shared" si="1"/>
        <v>8362425.0198720014</v>
      </c>
      <c r="W8" s="171" t="s">
        <v>16</v>
      </c>
      <c r="X8" s="284">
        <f t="shared" ref="X8:X14" si="2">Q20+Q45+Q64+Q76+Q90+Q102+Q114</f>
        <v>8518.9500000000025</v>
      </c>
    </row>
    <row r="9" spans="1:25">
      <c r="A9" s="47" t="str">
        <f>A61</f>
        <v>SCHOOL DISTRICT</v>
      </c>
      <c r="B9" s="48">
        <f t="shared" ref="B9:Q9" si="3">B84</f>
        <v>1.1499999999999999</v>
      </c>
      <c r="C9" s="48">
        <f t="shared" si="3"/>
        <v>0</v>
      </c>
      <c r="D9" s="43">
        <f t="shared" si="3"/>
        <v>10681</v>
      </c>
      <c r="F9" s="43">
        <f t="shared" si="3"/>
        <v>643973847.91999996</v>
      </c>
      <c r="G9" s="53">
        <f t="shared" si="3"/>
        <v>162504.04</v>
      </c>
      <c r="H9" s="53">
        <f t="shared" si="3"/>
        <v>7284239.0960000008</v>
      </c>
      <c r="I9" s="53">
        <f t="shared" si="3"/>
        <v>0</v>
      </c>
      <c r="J9" s="53">
        <f t="shared" si="3"/>
        <v>40827.060000000005</v>
      </c>
      <c r="K9" s="53">
        <f t="shared" si="3"/>
        <v>171.26</v>
      </c>
      <c r="L9" s="53">
        <f t="shared" si="3"/>
        <v>7406087.3359999992</v>
      </c>
      <c r="M9" s="53">
        <f t="shared" si="3"/>
        <v>206865.84000000003</v>
      </c>
      <c r="N9" s="53">
        <f t="shared" si="3"/>
        <v>7199221.4960000003</v>
      </c>
      <c r="O9" s="53">
        <f t="shared" si="3"/>
        <v>0</v>
      </c>
      <c r="P9" s="53">
        <f>P84</f>
        <v>110631.94</v>
      </c>
      <c r="Q9" s="53">
        <f t="shared" si="3"/>
        <v>7088589.5559999999</v>
      </c>
      <c r="W9" s="171" t="s">
        <v>17</v>
      </c>
      <c r="X9" s="284">
        <f>N21+Q46+Q65+Q77+Q91+Q103+Q115</f>
        <v>10394033.72796</v>
      </c>
    </row>
    <row r="10" spans="1:25">
      <c r="A10" s="47" t="str">
        <f>A87</f>
        <v>CITY OF LOVELOCK</v>
      </c>
      <c r="B10" s="48">
        <f t="shared" ref="B10:Q10" si="4">B96</f>
        <v>0.56240000000000001</v>
      </c>
      <c r="C10" s="48">
        <f t="shared" si="4"/>
        <v>0</v>
      </c>
      <c r="D10" s="43">
        <f t="shared" si="4"/>
        <v>741</v>
      </c>
      <c r="F10" s="43">
        <f t="shared" si="4"/>
        <v>38500141.469999999</v>
      </c>
      <c r="G10" s="53">
        <f t="shared" si="4"/>
        <v>9025.92</v>
      </c>
      <c r="H10" s="53">
        <f t="shared" si="4"/>
        <v>208516.72948799998</v>
      </c>
      <c r="I10" s="53">
        <f t="shared" si="4"/>
        <v>0</v>
      </c>
      <c r="J10" s="53">
        <f t="shared" si="4"/>
        <v>1879.5700000000002</v>
      </c>
      <c r="K10" s="53">
        <f t="shared" si="4"/>
        <v>0</v>
      </c>
      <c r="L10" s="53">
        <f t="shared" si="4"/>
        <v>215663.07948799999</v>
      </c>
      <c r="M10" s="53">
        <f t="shared" si="4"/>
        <v>13179.36</v>
      </c>
      <c r="N10" s="53">
        <f t="shared" si="4"/>
        <v>202483.71948799997</v>
      </c>
      <c r="O10" s="53">
        <f t="shared" si="4"/>
        <v>0</v>
      </c>
      <c r="P10" s="53">
        <f>P96</f>
        <v>0</v>
      </c>
      <c r="Q10" s="53">
        <f t="shared" si="4"/>
        <v>202483.71948799997</v>
      </c>
      <c r="W10" s="171" t="s">
        <v>18</v>
      </c>
      <c r="X10" s="284"/>
    </row>
    <row r="11" spans="1:25">
      <c r="A11" s="47" t="str">
        <f>A99</f>
        <v>TOWN OF IMLAY</v>
      </c>
      <c r="B11" s="48">
        <f t="shared" ref="B11:Q11" si="5">B108</f>
        <v>0.15</v>
      </c>
      <c r="C11" s="48">
        <f t="shared" si="5"/>
        <v>0</v>
      </c>
      <c r="D11" s="43">
        <f t="shared" si="5"/>
        <v>251</v>
      </c>
      <c r="F11" s="43">
        <f t="shared" si="5"/>
        <v>4051846.69</v>
      </c>
      <c r="G11" s="53">
        <f t="shared" si="5"/>
        <v>213.1</v>
      </c>
      <c r="H11" s="53">
        <f t="shared" si="5"/>
        <v>5933.0889999999999</v>
      </c>
      <c r="I11" s="53">
        <f t="shared" si="5"/>
        <v>0</v>
      </c>
      <c r="J11" s="53">
        <f t="shared" si="5"/>
        <v>94.69</v>
      </c>
      <c r="K11" s="53">
        <f t="shared" si="5"/>
        <v>8.01</v>
      </c>
      <c r="L11" s="53">
        <f t="shared" si="5"/>
        <v>6059.5090000000009</v>
      </c>
      <c r="M11" s="53">
        <f t="shared" si="5"/>
        <v>698.4</v>
      </c>
      <c r="N11" s="53">
        <f t="shared" si="5"/>
        <v>5361.1089999999995</v>
      </c>
      <c r="O11" s="53">
        <f t="shared" si="5"/>
        <v>0</v>
      </c>
      <c r="P11" s="53">
        <f>P108</f>
        <v>0</v>
      </c>
      <c r="Q11" s="53">
        <f t="shared" si="5"/>
        <v>5361.1089999999995</v>
      </c>
      <c r="W11" s="285" t="s">
        <v>19</v>
      </c>
      <c r="X11" s="284">
        <f t="shared" si="2"/>
        <v>3519307.4</v>
      </c>
      <c r="Y11" s="390" t="s">
        <v>461</v>
      </c>
    </row>
    <row r="12" spans="1:25">
      <c r="A12" s="47" t="str">
        <f>A111</f>
        <v>PERSHING CO HOSPITAL DISTRICT</v>
      </c>
      <c r="B12" s="48">
        <f t="shared" ref="B12:Q12" si="6">B120</f>
        <v>0.42000000000000004</v>
      </c>
      <c r="C12" s="48">
        <f t="shared" si="6"/>
        <v>0</v>
      </c>
      <c r="D12" s="43">
        <f t="shared" si="6"/>
        <v>10681</v>
      </c>
      <c r="F12" s="43">
        <f t="shared" si="6"/>
        <v>646568708.54666662</v>
      </c>
      <c r="G12" s="53">
        <f t="shared" si="6"/>
        <v>59349.21</v>
      </c>
      <c r="H12" s="53">
        <f t="shared" si="6"/>
        <v>2660325.3167999997</v>
      </c>
      <c r="I12" s="53">
        <f t="shared" si="6"/>
        <v>0</v>
      </c>
      <c r="J12" s="53">
        <f t="shared" si="6"/>
        <v>14910.98</v>
      </c>
      <c r="K12" s="53">
        <f t="shared" si="6"/>
        <v>62.51</v>
      </c>
      <c r="L12" s="53">
        <f t="shared" si="6"/>
        <v>2704826.0567999999</v>
      </c>
      <c r="M12" s="53">
        <f t="shared" si="6"/>
        <v>75832.260000000009</v>
      </c>
      <c r="N12" s="53">
        <f t="shared" si="6"/>
        <v>2628993.7968000001</v>
      </c>
      <c r="O12" s="53">
        <f t="shared" si="6"/>
        <v>0</v>
      </c>
      <c r="P12" s="53">
        <f>P120</f>
        <v>40404.71</v>
      </c>
      <c r="Q12" s="53">
        <f t="shared" si="6"/>
        <v>2588589.0868000002</v>
      </c>
      <c r="W12" s="285" t="s">
        <v>20</v>
      </c>
      <c r="X12" s="284">
        <f t="shared" si="2"/>
        <v>341760.06000000006</v>
      </c>
      <c r="Y12" s="390" t="s">
        <v>461</v>
      </c>
    </row>
    <row r="13" spans="1:25">
      <c r="A13" s="57"/>
      <c r="B13" s="51"/>
      <c r="C13" s="51"/>
      <c r="D13" s="52"/>
      <c r="E13" s="203"/>
      <c r="F13" s="52"/>
      <c r="W13" s="174"/>
      <c r="X13" s="284"/>
    </row>
    <row r="14" spans="1:25" s="50" customFormat="1" ht="13.5" thickBot="1">
      <c r="A14" s="57" t="s">
        <v>14</v>
      </c>
      <c r="B14" s="51"/>
      <c r="C14" s="51"/>
      <c r="D14" s="69">
        <f>D7</f>
        <v>10681</v>
      </c>
      <c r="E14" s="204"/>
      <c r="F14" s="69">
        <f>F7</f>
        <v>643973840.86117649</v>
      </c>
      <c r="G14" s="70">
        <f t="shared" ref="G14:Q14" si="7">SUM(G7:G12)</f>
        <v>446841.18999999994</v>
      </c>
      <c r="H14" s="70">
        <f t="shared" si="7"/>
        <v>19829877.317960002</v>
      </c>
      <c r="I14" s="70">
        <f t="shared" si="7"/>
        <v>0</v>
      </c>
      <c r="J14" s="70">
        <f t="shared" si="7"/>
        <v>111916.04000000002</v>
      </c>
      <c r="K14" s="70">
        <f t="shared" si="7"/>
        <v>469.13</v>
      </c>
      <c r="L14" s="70">
        <f t="shared" si="7"/>
        <v>20165271.597960003</v>
      </c>
      <c r="M14" s="70">
        <f t="shared" si="7"/>
        <v>572022.27</v>
      </c>
      <c r="N14" s="70">
        <f t="shared" si="7"/>
        <v>19593249.327959999</v>
      </c>
      <c r="O14" s="70">
        <f t="shared" si="7"/>
        <v>0</v>
      </c>
      <c r="P14" s="70">
        <f>SUM(P7:P12)</f>
        <v>297917.39</v>
      </c>
      <c r="Q14" s="70">
        <f t="shared" si="7"/>
        <v>19295331.937960003</v>
      </c>
      <c r="W14" s="174"/>
      <c r="X14" s="284">
        <f t="shared" si="2"/>
        <v>19295331.937960003</v>
      </c>
    </row>
    <row r="15" spans="1:25" ht="13.5" thickBot="1">
      <c r="A15" s="60"/>
      <c r="B15" s="61"/>
      <c r="C15" s="61"/>
      <c r="D15" s="62"/>
      <c r="E15" s="215"/>
      <c r="F15" s="62"/>
      <c r="G15" s="63"/>
      <c r="H15" s="63"/>
      <c r="I15" s="63"/>
      <c r="J15" s="63"/>
      <c r="K15" s="63"/>
      <c r="L15" s="279" t="s">
        <v>388</v>
      </c>
      <c r="M15" s="280">
        <f>M14/L14</f>
        <v>2.8366702983453396E-2</v>
      </c>
      <c r="N15" s="63"/>
      <c r="O15" s="63"/>
      <c r="P15" s="63"/>
      <c r="Q15" s="63"/>
    </row>
    <row r="16" spans="1:25">
      <c r="A16" s="50"/>
      <c r="B16" s="51"/>
      <c r="C16" s="51"/>
      <c r="D16" s="52"/>
      <c r="E16" s="203"/>
      <c r="F16" s="52"/>
    </row>
    <row r="17" spans="1:22">
      <c r="A17" s="54" t="s">
        <v>11</v>
      </c>
      <c r="B17" s="51"/>
      <c r="C17" s="51"/>
      <c r="D17" s="52"/>
      <c r="E17" s="203"/>
      <c r="F17" s="52"/>
      <c r="G17" s="64"/>
    </row>
    <row r="18" spans="1:22">
      <c r="E18" s="65">
        <v>1000000</v>
      </c>
    </row>
    <row r="19" spans="1:22">
      <c r="A19" s="49" t="s">
        <v>15</v>
      </c>
      <c r="B19" s="48">
        <v>0.17</v>
      </c>
      <c r="C19" s="48">
        <v>0</v>
      </c>
      <c r="D19" s="43">
        <v>10681</v>
      </c>
      <c r="E19" s="173">
        <f>G19/B19*100</f>
        <v>806647.0588235294</v>
      </c>
      <c r="F19" s="43">
        <v>172984204</v>
      </c>
      <c r="G19" s="53">
        <v>1371.3</v>
      </c>
      <c r="H19" s="53">
        <v>294344.65999999997</v>
      </c>
      <c r="I19" s="53">
        <f t="shared" ref="I19" si="8">F19*C19/100</f>
        <v>0</v>
      </c>
      <c r="J19" s="53">
        <v>1605.42</v>
      </c>
      <c r="K19" s="53">
        <v>25.31</v>
      </c>
      <c r="L19" s="53">
        <f>G19+H19+I19-J19+K19</f>
        <v>294135.84999999998</v>
      </c>
      <c r="M19" s="53">
        <v>26832.14</v>
      </c>
      <c r="N19" s="53">
        <f>L19-M19</f>
        <v>267303.70999999996</v>
      </c>
      <c r="O19" s="53">
        <v>0</v>
      </c>
      <c r="P19" s="53">
        <v>0</v>
      </c>
      <c r="Q19" s="53">
        <f>N19-O19-P19</f>
        <v>267303.70999999996</v>
      </c>
    </row>
    <row r="20" spans="1:22">
      <c r="A20" s="47" t="s">
        <v>16</v>
      </c>
      <c r="B20" s="48">
        <f>+B19</f>
        <v>0.17</v>
      </c>
      <c r="E20" s="173">
        <v>769250</v>
      </c>
      <c r="F20" s="65">
        <f>IF(E18&gt;E19,E18-E19,0)</f>
        <v>193352.9411764706</v>
      </c>
      <c r="G20" s="53">
        <f>F20*(B20-C20)/100</f>
        <v>328.70000000000005</v>
      </c>
      <c r="I20" s="53">
        <f>F20*C20/100</f>
        <v>0</v>
      </c>
      <c r="L20" s="53">
        <f>G20+H20+I20-J20+K20</f>
        <v>328.70000000000005</v>
      </c>
      <c r="N20" s="53">
        <f>L20-M20</f>
        <v>328.70000000000005</v>
      </c>
      <c r="Q20" s="53">
        <f>N20-O20-P20</f>
        <v>328.70000000000005</v>
      </c>
    </row>
    <row r="21" spans="1:22">
      <c r="A21" s="47" t="s">
        <v>17</v>
      </c>
      <c r="B21" s="48">
        <f>+B19</f>
        <v>0.17</v>
      </c>
      <c r="F21" s="66">
        <v>335336704</v>
      </c>
      <c r="H21" s="53">
        <f>F21*(B21-C21)/100</f>
        <v>570072.3968000001</v>
      </c>
      <c r="I21" s="53">
        <v>0</v>
      </c>
      <c r="J21" s="53">
        <v>0</v>
      </c>
      <c r="K21" s="53">
        <v>0</v>
      </c>
      <c r="L21" s="53">
        <f>G21+H21+I21-J21+K21</f>
        <v>570072.3968000001</v>
      </c>
      <c r="M21" s="53">
        <v>0</v>
      </c>
      <c r="N21" s="53">
        <f>L21-M21</f>
        <v>570072.3968000001</v>
      </c>
      <c r="O21" s="53">
        <v>0</v>
      </c>
      <c r="P21" s="53">
        <v>0</v>
      </c>
      <c r="Q21" s="53">
        <f>N21-O21-P21</f>
        <v>570072.3968000001</v>
      </c>
    </row>
    <row r="22" spans="1:22">
      <c r="A22" s="47" t="s">
        <v>18</v>
      </c>
    </row>
    <row r="23" spans="1:22">
      <c r="A23" s="67" t="s">
        <v>19</v>
      </c>
      <c r="B23" s="48">
        <f>+B19</f>
        <v>0.17</v>
      </c>
      <c r="F23" s="43">
        <v>124601122.91</v>
      </c>
      <c r="G23" s="53">
        <v>4418.67</v>
      </c>
      <c r="H23" s="53">
        <v>211833.11</v>
      </c>
      <c r="I23" s="53">
        <v>0</v>
      </c>
      <c r="J23" s="53">
        <v>4429.8599999999997</v>
      </c>
      <c r="K23" s="53">
        <v>0</v>
      </c>
      <c r="L23" s="53">
        <f>G23+H23+I23-J23+K23</f>
        <v>211821.92</v>
      </c>
      <c r="M23" s="53">
        <v>3746.96</v>
      </c>
      <c r="N23" s="53">
        <f>L23-M23</f>
        <v>208074.96000000002</v>
      </c>
      <c r="O23" s="53">
        <v>0</v>
      </c>
      <c r="P23" s="53">
        <v>16354.29</v>
      </c>
      <c r="Q23" s="53">
        <f>N23-O23-P23</f>
        <v>191720.67</v>
      </c>
    </row>
    <row r="24" spans="1:22">
      <c r="A24" s="67" t="s">
        <v>20</v>
      </c>
      <c r="B24" s="48">
        <f>+B19</f>
        <v>0.17</v>
      </c>
      <c r="F24" s="43">
        <v>10858457.01</v>
      </c>
      <c r="G24" s="53">
        <v>17903.599999999999</v>
      </c>
      <c r="H24" s="53">
        <v>555.52</v>
      </c>
      <c r="I24" s="53">
        <v>0</v>
      </c>
      <c r="J24" s="53">
        <v>0</v>
      </c>
      <c r="K24" s="53">
        <v>0</v>
      </c>
      <c r="L24" s="53">
        <f>G24+H24+I24-J24+K24</f>
        <v>18459.12</v>
      </c>
      <c r="M24" s="53">
        <v>1.1499999999999999</v>
      </c>
      <c r="N24" s="53">
        <f>L24-M24</f>
        <v>18457.969999999998</v>
      </c>
      <c r="O24" s="53">
        <v>0</v>
      </c>
      <c r="P24" s="53">
        <v>0</v>
      </c>
      <c r="Q24" s="53">
        <f>N24-O24-P24</f>
        <v>18457.969999999998</v>
      </c>
    </row>
    <row r="26" spans="1:22" s="50" customFormat="1" ht="13.5" thickBot="1">
      <c r="A26" s="60" t="str">
        <f>"TOTAL "&amp;A17</f>
        <v>TOTAL STATE OF NEVADA</v>
      </c>
      <c r="B26" s="68">
        <f>B19</f>
        <v>0.17</v>
      </c>
      <c r="C26" s="68">
        <f>C19</f>
        <v>0</v>
      </c>
      <c r="D26" s="69">
        <f t="shared" ref="D26:Q26" si="9">SUM(D19:D21,D23:D24)</f>
        <v>10681</v>
      </c>
      <c r="E26" s="204"/>
      <c r="F26" s="69">
        <f t="shared" si="9"/>
        <v>643973840.86117649</v>
      </c>
      <c r="G26" s="70">
        <f t="shared" si="9"/>
        <v>24022.269999999997</v>
      </c>
      <c r="H26" s="70">
        <f t="shared" si="9"/>
        <v>1076805.6868000003</v>
      </c>
      <c r="I26" s="70">
        <f t="shared" si="9"/>
        <v>0</v>
      </c>
      <c r="J26" s="70">
        <f t="shared" si="9"/>
        <v>6035.28</v>
      </c>
      <c r="K26" s="70">
        <f t="shared" si="9"/>
        <v>25.31</v>
      </c>
      <c r="L26" s="70">
        <f t="shared" si="9"/>
        <v>1094817.9868000001</v>
      </c>
      <c r="M26" s="70">
        <f t="shared" si="9"/>
        <v>30580.25</v>
      </c>
      <c r="N26" s="70">
        <f>SUM(N19:N21,N23:N24)</f>
        <v>1064237.7368000001</v>
      </c>
      <c r="O26" s="70">
        <f t="shared" si="9"/>
        <v>0</v>
      </c>
      <c r="P26" s="70">
        <f t="shared" si="9"/>
        <v>16354.29</v>
      </c>
      <c r="Q26" s="70">
        <f t="shared" si="9"/>
        <v>1047883.4468000002</v>
      </c>
    </row>
    <row r="27" spans="1:22">
      <c r="A27" s="150" t="s">
        <v>355</v>
      </c>
      <c r="F27" s="64">
        <v>643995716</v>
      </c>
    </row>
    <row r="28" spans="1:22">
      <c r="A28" s="151" t="s">
        <v>30</v>
      </c>
      <c r="B28" s="51"/>
      <c r="C28" s="51"/>
      <c r="D28" s="52"/>
      <c r="E28" s="203"/>
      <c r="F28" s="152">
        <f>F26-F27</f>
        <v>-21875.138823509216</v>
      </c>
      <c r="T28" s="266" t="s">
        <v>378</v>
      </c>
      <c r="U28" s="266" t="s">
        <v>384</v>
      </c>
      <c r="V28" s="266" t="s">
        <v>227</v>
      </c>
    </row>
    <row r="29" spans="1:22">
      <c r="A29" s="154" t="s">
        <v>12</v>
      </c>
      <c r="F29" s="95"/>
      <c r="G29" s="64"/>
      <c r="H29" s="96"/>
      <c r="I29" s="49"/>
      <c r="J29" s="97"/>
      <c r="L29" s="188"/>
      <c r="T29" s="266" t="s">
        <v>379</v>
      </c>
      <c r="U29" s="266" t="s">
        <v>385</v>
      </c>
      <c r="V29" s="266" t="s">
        <v>382</v>
      </c>
    </row>
    <row r="30" spans="1:22">
      <c r="F30" s="463">
        <f>(G44+H44)/B44*100</f>
        <v>173941707.69457546</v>
      </c>
      <c r="G30" s="463"/>
      <c r="H30" s="464">
        <f>F30-J30</f>
        <v>172997354.06839621</v>
      </c>
      <c r="I30" s="463"/>
      <c r="J30" s="463">
        <f>J44/B44*100</f>
        <v>944353.6261792453</v>
      </c>
      <c r="T30" s="266"/>
      <c r="U30" s="266" t="s">
        <v>381</v>
      </c>
      <c r="V30" s="266" t="s">
        <v>383</v>
      </c>
    </row>
    <row r="31" spans="1:22">
      <c r="A31" s="49" t="s">
        <v>15</v>
      </c>
      <c r="T31" s="266"/>
      <c r="U31" s="266"/>
      <c r="V31" s="266"/>
    </row>
    <row r="32" spans="1:22">
      <c r="A32" s="103" t="s">
        <v>61</v>
      </c>
      <c r="B32" s="48">
        <v>1.0638000000000001</v>
      </c>
      <c r="C32" s="48">
        <v>0</v>
      </c>
      <c r="D32" s="43">
        <v>10681</v>
      </c>
      <c r="F32" s="43">
        <v>172984204</v>
      </c>
      <c r="G32" s="53">
        <v>8580.7999999999993</v>
      </c>
      <c r="H32" s="53">
        <v>1841801.75</v>
      </c>
      <c r="I32" s="53">
        <f t="shared" ref="I32:I42" si="10">F32*C32/100</f>
        <v>0</v>
      </c>
      <c r="J32" s="53">
        <v>10045.86</v>
      </c>
      <c r="K32" s="53">
        <v>158.4</v>
      </c>
      <c r="L32" s="53">
        <f>G32+H32+I32-J32+K32</f>
        <v>1840495.0899999999</v>
      </c>
      <c r="M32" s="53">
        <v>168712.16</v>
      </c>
      <c r="N32" s="53">
        <f t="shared" ref="N32:N42" si="11">L32-M32</f>
        <v>1671782.93</v>
      </c>
      <c r="O32" s="53">
        <v>0</v>
      </c>
      <c r="P32" s="53">
        <v>0</v>
      </c>
      <c r="Q32" s="53">
        <f>N32-O32-P32</f>
        <v>1671782.93</v>
      </c>
      <c r="R32" s="14"/>
      <c r="T32" s="267">
        <f>B32/$B$44</f>
        <v>0.78405070754716977</v>
      </c>
      <c r="U32" s="153">
        <f>$T$49*T32</f>
        <v>4884594.5100411512</v>
      </c>
      <c r="V32" s="153">
        <f>Q32+U32</f>
        <v>6556377.4400411509</v>
      </c>
    </row>
    <row r="33" spans="1:22">
      <c r="A33" s="103" t="s">
        <v>138</v>
      </c>
      <c r="B33" s="48">
        <v>1.5E-3</v>
      </c>
      <c r="D33" s="43">
        <v>10681</v>
      </c>
      <c r="F33" s="43">
        <v>172984204</v>
      </c>
      <c r="G33" s="53">
        <v>12.1</v>
      </c>
      <c r="H33" s="53">
        <v>2601.9899999999998</v>
      </c>
      <c r="I33" s="53">
        <f t="shared" si="10"/>
        <v>0</v>
      </c>
      <c r="J33" s="53">
        <v>14.02</v>
      </c>
      <c r="K33" s="53">
        <v>0.23</v>
      </c>
      <c r="L33" s="53">
        <f t="shared" ref="L33:L42" si="12">G33+H33+I33-J33+K33</f>
        <v>2600.2999999999997</v>
      </c>
      <c r="M33" s="53">
        <v>236.44</v>
      </c>
      <c r="N33" s="53">
        <f t="shared" si="11"/>
        <v>2363.8599999999997</v>
      </c>
      <c r="O33" s="53">
        <v>0</v>
      </c>
      <c r="P33" s="53">
        <v>0</v>
      </c>
      <c r="Q33" s="53">
        <f t="shared" ref="Q33:Q42" si="13">N33-O33-P33</f>
        <v>2363.8599999999997</v>
      </c>
      <c r="T33" s="267">
        <f t="shared" ref="T33:T42" si="14">B33/$B$44</f>
        <v>1.1055424528301884E-3</v>
      </c>
      <c r="U33" s="153">
        <f t="shared" ref="U33:U42" si="15">$T$49*T33</f>
        <v>6887.4711083490565</v>
      </c>
      <c r="V33" s="153">
        <f t="shared" ref="V33:V42" si="16">Q33+U33</f>
        <v>9251.3311083490553</v>
      </c>
    </row>
    <row r="34" spans="1:22">
      <c r="A34" s="103" t="s">
        <v>64</v>
      </c>
      <c r="B34" s="48">
        <v>3.5000000000000001E-3</v>
      </c>
      <c r="D34" s="43">
        <v>10681</v>
      </c>
      <c r="F34" s="43">
        <v>172984204</v>
      </c>
      <c r="G34" s="53">
        <v>28.24</v>
      </c>
      <c r="H34" s="53">
        <v>6064.46</v>
      </c>
      <c r="I34" s="53">
        <f t="shared" si="10"/>
        <v>0</v>
      </c>
      <c r="J34" s="53">
        <v>33.06</v>
      </c>
      <c r="K34" s="53">
        <v>0.5</v>
      </c>
      <c r="L34" s="53">
        <f t="shared" si="12"/>
        <v>6060.1399999999994</v>
      </c>
      <c r="M34" s="53">
        <v>552.08000000000004</v>
      </c>
      <c r="N34" s="53">
        <f t="shared" si="11"/>
        <v>5508.0599999999995</v>
      </c>
      <c r="O34" s="53">
        <v>0</v>
      </c>
      <c r="P34" s="53">
        <v>0</v>
      </c>
      <c r="Q34" s="53">
        <f t="shared" si="13"/>
        <v>5508.0599999999995</v>
      </c>
      <c r="T34" s="267">
        <f t="shared" si="14"/>
        <v>2.579599056603773E-3</v>
      </c>
      <c r="U34" s="153">
        <f t="shared" si="15"/>
        <v>16070.765919481131</v>
      </c>
      <c r="V34" s="153">
        <f t="shared" si="16"/>
        <v>21578.825919481133</v>
      </c>
    </row>
    <row r="35" spans="1:22">
      <c r="A35" s="103" t="s">
        <v>218</v>
      </c>
      <c r="B35" s="48">
        <v>6.0000000000000001E-3</v>
      </c>
      <c r="D35" s="43">
        <v>10681</v>
      </c>
      <c r="F35" s="43">
        <v>172984204</v>
      </c>
      <c r="G35" s="53">
        <v>48.44</v>
      </c>
      <c r="H35" s="53">
        <v>10382.85</v>
      </c>
      <c r="I35" s="53">
        <f t="shared" si="10"/>
        <v>0</v>
      </c>
      <c r="J35" s="53">
        <v>56.75</v>
      </c>
      <c r="K35" s="53">
        <v>0.86</v>
      </c>
      <c r="L35" s="53">
        <f t="shared" si="12"/>
        <v>10375.400000000001</v>
      </c>
      <c r="M35" s="53">
        <v>945.17</v>
      </c>
      <c r="N35" s="53">
        <f t="shared" si="11"/>
        <v>9430.2300000000014</v>
      </c>
      <c r="O35" s="53">
        <v>0</v>
      </c>
      <c r="P35" s="53">
        <v>0</v>
      </c>
      <c r="Q35" s="53">
        <f t="shared" si="13"/>
        <v>9430.2300000000014</v>
      </c>
      <c r="T35" s="267">
        <f t="shared" si="14"/>
        <v>4.4221698113207537E-3</v>
      </c>
      <c r="U35" s="153">
        <f t="shared" si="15"/>
        <v>27549.884433396226</v>
      </c>
      <c r="V35" s="153">
        <f t="shared" si="16"/>
        <v>36980.114433396229</v>
      </c>
    </row>
    <row r="36" spans="1:22">
      <c r="A36" s="103" t="s">
        <v>219</v>
      </c>
      <c r="B36" s="48">
        <v>5.0500000000000003E-2</v>
      </c>
      <c r="D36" s="43">
        <v>10681</v>
      </c>
      <c r="F36" s="43">
        <v>172984204</v>
      </c>
      <c r="G36" s="53">
        <v>407.37</v>
      </c>
      <c r="H36" s="53">
        <v>87438.44</v>
      </c>
      <c r="I36" s="53">
        <f t="shared" si="10"/>
        <v>0</v>
      </c>
      <c r="J36" s="53">
        <v>477.04</v>
      </c>
      <c r="K36" s="53">
        <v>7.51</v>
      </c>
      <c r="L36" s="53">
        <f t="shared" si="12"/>
        <v>87376.28</v>
      </c>
      <c r="M36" s="53">
        <v>7969.35</v>
      </c>
      <c r="N36" s="53">
        <f t="shared" si="11"/>
        <v>79406.929999999993</v>
      </c>
      <c r="O36" s="53">
        <v>0</v>
      </c>
      <c r="P36" s="53">
        <v>0</v>
      </c>
      <c r="Q36" s="53">
        <f t="shared" si="13"/>
        <v>79406.929999999993</v>
      </c>
      <c r="T36" s="267">
        <f t="shared" si="14"/>
        <v>3.7219929245283015E-2</v>
      </c>
      <c r="U36" s="153">
        <f t="shared" si="15"/>
        <v>231878.19398108491</v>
      </c>
      <c r="V36" s="153">
        <f t="shared" si="16"/>
        <v>311285.12398108491</v>
      </c>
    </row>
    <row r="37" spans="1:22">
      <c r="A37" s="103" t="s">
        <v>220</v>
      </c>
      <c r="B37" s="48">
        <v>1.4999999999999999E-2</v>
      </c>
      <c r="D37" s="43">
        <v>10681</v>
      </c>
      <c r="F37" s="43">
        <v>172984204</v>
      </c>
      <c r="G37" s="53">
        <v>121</v>
      </c>
      <c r="H37" s="53">
        <v>25971.360000000001</v>
      </c>
      <c r="I37" s="53">
        <f t="shared" si="10"/>
        <v>0</v>
      </c>
      <c r="J37" s="53">
        <v>141.78</v>
      </c>
      <c r="K37" s="53">
        <v>2.23</v>
      </c>
      <c r="L37" s="53">
        <f t="shared" si="12"/>
        <v>25952.81</v>
      </c>
      <c r="M37" s="53">
        <v>2366.71</v>
      </c>
      <c r="N37" s="53">
        <f t="shared" si="11"/>
        <v>23586.100000000002</v>
      </c>
      <c r="O37" s="53">
        <v>0</v>
      </c>
      <c r="P37" s="53">
        <v>0</v>
      </c>
      <c r="Q37" s="53">
        <f t="shared" si="13"/>
        <v>23586.100000000002</v>
      </c>
      <c r="T37" s="267">
        <f t="shared" si="14"/>
        <v>1.1055424528301884E-2</v>
      </c>
      <c r="U37" s="153">
        <f t="shared" si="15"/>
        <v>68874.711083490562</v>
      </c>
      <c r="V37" s="153">
        <f t="shared" si="16"/>
        <v>92460.811083490567</v>
      </c>
    </row>
    <row r="38" spans="1:22">
      <c r="A38" s="103" t="s">
        <v>221</v>
      </c>
      <c r="B38" s="48">
        <v>0.06</v>
      </c>
      <c r="D38" s="43">
        <v>10681</v>
      </c>
      <c r="F38" s="43">
        <v>172984204</v>
      </c>
      <c r="G38" s="53">
        <v>483.99</v>
      </c>
      <c r="H38" s="53">
        <v>103877.04</v>
      </c>
      <c r="I38" s="53">
        <f t="shared" si="10"/>
        <v>0</v>
      </c>
      <c r="J38" s="53">
        <v>566.4</v>
      </c>
      <c r="K38" s="53">
        <v>8.9499999999999993</v>
      </c>
      <c r="L38" s="53">
        <f t="shared" si="12"/>
        <v>103803.58</v>
      </c>
      <c r="M38" s="53">
        <v>9469.56</v>
      </c>
      <c r="N38" s="53">
        <f t="shared" si="11"/>
        <v>94334.02</v>
      </c>
      <c r="O38" s="53">
        <v>0</v>
      </c>
      <c r="P38" s="53">
        <v>0</v>
      </c>
      <c r="Q38" s="53">
        <f t="shared" si="13"/>
        <v>94334.02</v>
      </c>
      <c r="T38" s="267">
        <f t="shared" si="14"/>
        <v>4.4221698113207537E-2</v>
      </c>
      <c r="U38" s="153">
        <f t="shared" si="15"/>
        <v>275498.84433396225</v>
      </c>
      <c r="V38" s="153">
        <f t="shared" si="16"/>
        <v>369832.86433396226</v>
      </c>
    </row>
    <row r="39" spans="1:22">
      <c r="A39" s="103" t="s">
        <v>222</v>
      </c>
      <c r="B39" s="48">
        <v>6.8000000000000005E-2</v>
      </c>
      <c r="D39" s="43">
        <v>10681</v>
      </c>
      <c r="F39" s="43">
        <v>172984204</v>
      </c>
      <c r="G39" s="53">
        <v>548.52</v>
      </c>
      <c r="H39" s="53">
        <v>117727.36</v>
      </c>
      <c r="I39" s="53">
        <f t="shared" si="10"/>
        <v>0</v>
      </c>
      <c r="J39" s="53">
        <v>642.44000000000005</v>
      </c>
      <c r="K39" s="53">
        <v>10.14</v>
      </c>
      <c r="L39" s="53">
        <f t="shared" si="12"/>
        <v>117643.58</v>
      </c>
      <c r="M39" s="53">
        <v>10732.74</v>
      </c>
      <c r="N39" s="53">
        <f t="shared" si="11"/>
        <v>106910.84</v>
      </c>
      <c r="O39" s="53">
        <v>0</v>
      </c>
      <c r="P39" s="53">
        <v>0</v>
      </c>
      <c r="Q39" s="53">
        <f t="shared" si="13"/>
        <v>106910.84</v>
      </c>
      <c r="T39" s="267">
        <f t="shared" si="14"/>
        <v>5.0117924528301883E-2</v>
      </c>
      <c r="U39" s="153">
        <f t="shared" si="15"/>
        <v>312232.0235784906</v>
      </c>
      <c r="V39" s="153">
        <f t="shared" si="16"/>
        <v>419142.86357849056</v>
      </c>
    </row>
    <row r="40" spans="1:22">
      <c r="A40" s="103" t="s">
        <v>69</v>
      </c>
      <c r="B40" s="48">
        <v>1.8499999999999999E-2</v>
      </c>
      <c r="D40" s="43">
        <v>10681</v>
      </c>
      <c r="F40" s="43">
        <v>172984204</v>
      </c>
      <c r="G40" s="53">
        <v>149.25</v>
      </c>
      <c r="H40" s="53">
        <v>32033.14</v>
      </c>
      <c r="I40" s="53">
        <f t="shared" si="10"/>
        <v>0</v>
      </c>
      <c r="J40" s="53">
        <v>174.62</v>
      </c>
      <c r="K40" s="53">
        <v>2.78</v>
      </c>
      <c r="L40" s="53">
        <f t="shared" si="12"/>
        <v>32010.55</v>
      </c>
      <c r="M40" s="53">
        <v>2921.1</v>
      </c>
      <c r="N40" s="53">
        <f t="shared" si="11"/>
        <v>29089.45</v>
      </c>
      <c r="O40" s="53">
        <v>0</v>
      </c>
      <c r="P40" s="53">
        <v>0</v>
      </c>
      <c r="Q40" s="53">
        <f t="shared" si="13"/>
        <v>29089.45</v>
      </c>
      <c r="T40" s="267">
        <f t="shared" si="14"/>
        <v>1.3635023584905658E-2</v>
      </c>
      <c r="U40" s="153">
        <f t="shared" si="15"/>
        <v>84945.477002971704</v>
      </c>
      <c r="V40" s="153">
        <f t="shared" si="16"/>
        <v>114034.9270029717</v>
      </c>
    </row>
    <row r="41" spans="1:22">
      <c r="A41" s="103" t="s">
        <v>223</v>
      </c>
      <c r="B41" s="48">
        <v>0.05</v>
      </c>
      <c r="D41" s="43">
        <v>10681</v>
      </c>
      <c r="F41" s="43">
        <v>172984204</v>
      </c>
      <c r="G41" s="53">
        <v>403.3</v>
      </c>
      <c r="H41" s="53">
        <v>86576.87</v>
      </c>
      <c r="I41" s="53">
        <f t="shared" si="10"/>
        <v>0</v>
      </c>
      <c r="J41" s="53">
        <v>472.18</v>
      </c>
      <c r="K41" s="53">
        <v>7.45</v>
      </c>
      <c r="L41" s="53">
        <f t="shared" si="12"/>
        <v>86515.44</v>
      </c>
      <c r="M41" s="53">
        <v>7890.89</v>
      </c>
      <c r="N41" s="53">
        <f t="shared" si="11"/>
        <v>78624.55</v>
      </c>
      <c r="O41" s="53">
        <v>0</v>
      </c>
      <c r="P41" s="53">
        <v>0</v>
      </c>
      <c r="Q41" s="53">
        <f t="shared" si="13"/>
        <v>78624.55</v>
      </c>
      <c r="T41" s="267">
        <f t="shared" si="14"/>
        <v>3.6851415094339618E-2</v>
      </c>
      <c r="U41" s="153">
        <f t="shared" si="15"/>
        <v>229582.37027830191</v>
      </c>
      <c r="V41" s="153">
        <f t="shared" si="16"/>
        <v>308206.92027830193</v>
      </c>
    </row>
    <row r="42" spans="1:22">
      <c r="A42" s="103" t="s">
        <v>224</v>
      </c>
      <c r="B42" s="48">
        <v>0.02</v>
      </c>
      <c r="D42" s="43">
        <v>10681</v>
      </c>
      <c r="F42" s="43">
        <v>172984204</v>
      </c>
      <c r="G42" s="53">
        <v>161.33000000000001</v>
      </c>
      <c r="H42" s="53">
        <v>34621.49</v>
      </c>
      <c r="I42" s="53">
        <f t="shared" si="10"/>
        <v>0</v>
      </c>
      <c r="J42" s="53">
        <v>188.84</v>
      </c>
      <c r="K42" s="53">
        <v>2.99</v>
      </c>
      <c r="L42" s="53">
        <f t="shared" si="12"/>
        <v>34596.97</v>
      </c>
      <c r="M42" s="53">
        <v>3156.12</v>
      </c>
      <c r="N42" s="53">
        <f t="shared" si="11"/>
        <v>31440.850000000002</v>
      </c>
      <c r="O42" s="53">
        <v>0</v>
      </c>
      <c r="P42" s="53">
        <v>0</v>
      </c>
      <c r="Q42" s="53">
        <f t="shared" si="13"/>
        <v>31440.850000000002</v>
      </c>
      <c r="T42" s="267">
        <f t="shared" si="14"/>
        <v>1.4740566037735848E-2</v>
      </c>
      <c r="U42" s="153">
        <f t="shared" si="15"/>
        <v>91832.948111320758</v>
      </c>
      <c r="V42" s="153">
        <f t="shared" si="16"/>
        <v>123273.79811132076</v>
      </c>
    </row>
    <row r="43" spans="1:22">
      <c r="A43" s="103"/>
      <c r="E43" s="65">
        <v>1000000</v>
      </c>
      <c r="T43" s="266"/>
      <c r="U43" s="266"/>
      <c r="V43" s="266"/>
    </row>
    <row r="44" spans="1:22" s="50" customFormat="1">
      <c r="A44" s="71" t="s">
        <v>225</v>
      </c>
      <c r="B44" s="51">
        <f>SUM(B32:B42)</f>
        <v>1.3568000000000002</v>
      </c>
      <c r="C44" s="51">
        <v>0</v>
      </c>
      <c r="D44" s="78">
        <f>D32</f>
        <v>10681</v>
      </c>
      <c r="E44" s="208">
        <f>G44/B44*100</f>
        <v>806628.83254716976</v>
      </c>
      <c r="F44" s="78">
        <f>F32</f>
        <v>172984204</v>
      </c>
      <c r="G44" s="79">
        <f t="shared" ref="G44:P44" si="17">SUM(G32:G42)</f>
        <v>10944.34</v>
      </c>
      <c r="H44" s="79">
        <f t="shared" si="17"/>
        <v>2349096.7500000005</v>
      </c>
      <c r="I44" s="79">
        <f t="shared" si="17"/>
        <v>0</v>
      </c>
      <c r="J44" s="79">
        <f t="shared" si="17"/>
        <v>12812.990000000003</v>
      </c>
      <c r="K44" s="79">
        <f t="shared" si="17"/>
        <v>202.04</v>
      </c>
      <c r="L44" s="79">
        <f t="shared" si="17"/>
        <v>2347430.1399999997</v>
      </c>
      <c r="M44" s="79">
        <f t="shared" si="17"/>
        <v>214952.32000000001</v>
      </c>
      <c r="N44" s="79">
        <f t="shared" si="17"/>
        <v>2132477.8200000003</v>
      </c>
      <c r="O44" s="79">
        <f t="shared" si="17"/>
        <v>0</v>
      </c>
      <c r="P44" s="79">
        <f t="shared" si="17"/>
        <v>0</v>
      </c>
      <c r="Q44" s="73">
        <f>N44-O44-P44</f>
        <v>2132477.8200000003</v>
      </c>
      <c r="T44" s="267">
        <f>SUM(T32:T42)</f>
        <v>1</v>
      </c>
      <c r="U44" s="153">
        <f>SUM(U32:U42)</f>
        <v>6229947.1998720011</v>
      </c>
      <c r="V44" s="153">
        <f>SUM(V32:V42)</f>
        <v>8362425.0198720014</v>
      </c>
    </row>
    <row r="45" spans="1:22" ht="21" customHeight="1">
      <c r="A45" s="47" t="s">
        <v>16</v>
      </c>
      <c r="B45" s="48">
        <f>B44</f>
        <v>1.3568000000000002</v>
      </c>
      <c r="C45" s="48">
        <f>C44</f>
        <v>0</v>
      </c>
      <c r="F45" s="65">
        <f>IF(E43&gt;E44,E43-E44,0)</f>
        <v>193371.16745283024</v>
      </c>
      <c r="G45" s="53">
        <f>F45*(B45-C45)/100</f>
        <v>2623.6600000000012</v>
      </c>
      <c r="I45" s="53">
        <f>F45*C45/100</f>
        <v>0</v>
      </c>
      <c r="L45" s="53">
        <f>G45+H45+I45-J45+K45</f>
        <v>2623.6600000000012</v>
      </c>
      <c r="N45" s="53">
        <f>L45-M45</f>
        <v>2623.6600000000012</v>
      </c>
      <c r="Q45" s="53">
        <f>N45-O45-P45</f>
        <v>2623.6600000000012</v>
      </c>
      <c r="T45" s="266"/>
      <c r="U45" s="266"/>
      <c r="V45" s="266"/>
    </row>
    <row r="46" spans="1:22" ht="12.75" customHeight="1">
      <c r="A46" s="47" t="s">
        <v>17</v>
      </c>
      <c r="B46" s="48">
        <f>B44</f>
        <v>1.3568000000000002</v>
      </c>
      <c r="C46" s="48">
        <f>C44</f>
        <v>0</v>
      </c>
      <c r="F46" s="66">
        <v>335336704</v>
      </c>
      <c r="H46" s="53">
        <f>F46*(B46-C46)/100</f>
        <v>4549848.3998720013</v>
      </c>
      <c r="I46" s="53">
        <f>F46*C46/100</f>
        <v>0</v>
      </c>
      <c r="J46" s="53">
        <v>0</v>
      </c>
      <c r="K46" s="53">
        <v>0</v>
      </c>
      <c r="L46" s="53">
        <f>G46+H46+I46-J46+K46</f>
        <v>4549848.3998720013</v>
      </c>
      <c r="M46" s="53">
        <v>0</v>
      </c>
      <c r="N46" s="53">
        <f>L46-M46</f>
        <v>4549848.3998720013</v>
      </c>
      <c r="O46" s="53">
        <v>0</v>
      </c>
      <c r="P46" s="53">
        <v>0</v>
      </c>
      <c r="Q46" s="53">
        <f>N46-O46-P46</f>
        <v>4549848.3998720013</v>
      </c>
      <c r="T46" s="266" t="s">
        <v>380</v>
      </c>
      <c r="U46" s="266"/>
      <c r="V46" s="266"/>
    </row>
    <row r="47" spans="1:22">
      <c r="A47" s="47" t="s">
        <v>18</v>
      </c>
      <c r="T47" s="266" t="s">
        <v>381</v>
      </c>
      <c r="U47" s="266"/>
      <c r="V47" s="266"/>
    </row>
    <row r="48" spans="1:22">
      <c r="A48" s="67" t="s">
        <v>19</v>
      </c>
      <c r="B48" s="48">
        <f>B44</f>
        <v>1.3568000000000002</v>
      </c>
      <c r="C48" s="48">
        <f>C44</f>
        <v>0</v>
      </c>
      <c r="F48" s="43">
        <v>124601122.91</v>
      </c>
      <c r="G48" s="53">
        <v>35266.18</v>
      </c>
      <c r="H48" s="53">
        <v>1690677.32</v>
      </c>
      <c r="I48" s="53">
        <v>0</v>
      </c>
      <c r="J48" s="53">
        <v>35355.47</v>
      </c>
      <c r="K48" s="53">
        <v>0</v>
      </c>
      <c r="L48" s="53">
        <f>G48+H48+I48-J48+K48</f>
        <v>1690588.03</v>
      </c>
      <c r="M48" s="53">
        <v>29905.06</v>
      </c>
      <c r="N48" s="53">
        <f>L48-M48</f>
        <v>1660682.97</v>
      </c>
      <c r="O48" s="53">
        <v>0</v>
      </c>
      <c r="P48" s="53">
        <v>130526.45</v>
      </c>
      <c r="Q48" s="53">
        <f>N48-O48-P48</f>
        <v>1530156.52</v>
      </c>
      <c r="T48" s="266"/>
      <c r="U48" s="266"/>
      <c r="V48" s="266"/>
    </row>
    <row r="49" spans="1:22">
      <c r="A49" s="67" t="s">
        <v>20</v>
      </c>
      <c r="B49" s="48">
        <f>B44</f>
        <v>1.3568000000000002</v>
      </c>
      <c r="C49" s="48">
        <f>C44</f>
        <v>0</v>
      </c>
      <c r="F49" s="43">
        <v>10858457.01</v>
      </c>
      <c r="G49" s="53">
        <v>142892.47</v>
      </c>
      <c r="H49" s="53">
        <v>4434.93</v>
      </c>
      <c r="I49" s="53">
        <v>0</v>
      </c>
      <c r="L49" s="53">
        <f>G49+H49+I49-J49+K49</f>
        <v>147327.4</v>
      </c>
      <c r="M49" s="53">
        <v>8.7799999999999994</v>
      </c>
      <c r="N49" s="53">
        <f>L49-M49</f>
        <v>147318.62</v>
      </c>
      <c r="O49" s="53">
        <v>0</v>
      </c>
      <c r="P49" s="53">
        <v>0</v>
      </c>
      <c r="Q49" s="53">
        <f>N49-O49-P49</f>
        <v>147318.62</v>
      </c>
      <c r="T49" s="153">
        <f>SUM(Q45:Q46,Q48:Q49)</f>
        <v>6229947.1998720011</v>
      </c>
      <c r="U49" s="266"/>
      <c r="V49" s="266"/>
    </row>
    <row r="50" spans="1:22">
      <c r="T50" s="266"/>
      <c r="U50" s="266"/>
      <c r="V50" s="266"/>
    </row>
    <row r="51" spans="1:22" s="50" customFormat="1" ht="13.5" thickBot="1">
      <c r="A51" s="60" t="str">
        <f>"TOTAL "&amp;A29</f>
        <v>TOTAL GENERAL COUNTY</v>
      </c>
      <c r="B51" s="68">
        <f>B44</f>
        <v>1.3568000000000002</v>
      </c>
      <c r="C51" s="68">
        <f>C44</f>
        <v>0</v>
      </c>
      <c r="D51" s="69">
        <f t="shared" ref="D51:Q51" si="18">SUM(D44:D46,D48:D49)</f>
        <v>10681</v>
      </c>
      <c r="E51" s="204"/>
      <c r="F51" s="69">
        <f t="shared" si="18"/>
        <v>643973859.08745277</v>
      </c>
      <c r="G51" s="99">
        <f t="shared" si="18"/>
        <v>191726.65</v>
      </c>
      <c r="H51" s="99">
        <f t="shared" si="18"/>
        <v>8594057.3998720013</v>
      </c>
      <c r="I51" s="99">
        <f t="shared" si="18"/>
        <v>0</v>
      </c>
      <c r="J51" s="99">
        <f t="shared" si="18"/>
        <v>48168.460000000006</v>
      </c>
      <c r="K51" s="99">
        <f t="shared" si="18"/>
        <v>202.04</v>
      </c>
      <c r="L51" s="99">
        <f t="shared" si="18"/>
        <v>8737817.6298720017</v>
      </c>
      <c r="M51" s="99">
        <f t="shared" si="18"/>
        <v>244866.16</v>
      </c>
      <c r="N51" s="99">
        <f t="shared" si="18"/>
        <v>8492951.4698720016</v>
      </c>
      <c r="O51" s="99">
        <f t="shared" si="18"/>
        <v>0</v>
      </c>
      <c r="P51" s="99">
        <f t="shared" si="18"/>
        <v>130526.45</v>
      </c>
      <c r="Q51" s="99">
        <f t="shared" si="18"/>
        <v>8362425.0198720014</v>
      </c>
    </row>
    <row r="52" spans="1:22" s="168" customFormat="1">
      <c r="A52" s="165" t="s">
        <v>28</v>
      </c>
      <c r="B52" s="166"/>
      <c r="C52" s="166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</row>
    <row r="53" spans="1:22" s="168" customFormat="1">
      <c r="A53" s="200" t="s">
        <v>29</v>
      </c>
      <c r="B53" s="166"/>
      <c r="C53" s="166"/>
      <c r="D53" s="167"/>
      <c r="E53" s="167"/>
      <c r="F53" s="167">
        <v>769250</v>
      </c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</row>
    <row r="54" spans="1:22" s="168" customFormat="1">
      <c r="A54" s="200" t="s">
        <v>15</v>
      </c>
      <c r="B54" s="166"/>
      <c r="C54" s="166"/>
      <c r="D54" s="167"/>
      <c r="E54" s="167"/>
      <c r="F54" s="169">
        <v>172199432</v>
      </c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</row>
    <row r="55" spans="1:22" s="168" customFormat="1">
      <c r="A55" s="200"/>
      <c r="B55" s="166"/>
      <c r="C55" s="166"/>
      <c r="D55" s="167"/>
      <c r="E55" s="167"/>
      <c r="F55" s="167">
        <f>F53+F54</f>
        <v>172968682</v>
      </c>
      <c r="G55" s="167"/>
      <c r="H55" s="464">
        <f>H30-F55</f>
        <v>28672.06839621067</v>
      </c>
      <c r="I55" s="167"/>
      <c r="J55" s="167"/>
      <c r="K55" s="167"/>
      <c r="L55" s="167"/>
      <c r="M55" s="167"/>
      <c r="N55" s="167"/>
      <c r="O55" s="167"/>
      <c r="P55" s="167"/>
      <c r="Q55" s="167"/>
    </row>
    <row r="56" spans="1:22" s="168" customFormat="1">
      <c r="A56" s="200" t="s">
        <v>30</v>
      </c>
      <c r="B56" s="166"/>
      <c r="C56" s="166"/>
      <c r="D56" s="167"/>
      <c r="E56" s="167"/>
      <c r="F56" s="74">
        <f>F44-F55</f>
        <v>15522</v>
      </c>
      <c r="G56" s="170">
        <f>F56/F55</f>
        <v>8.973878866695649E-5</v>
      </c>
      <c r="H56" s="167"/>
      <c r="I56" s="167"/>
      <c r="J56" s="167"/>
      <c r="K56" s="167"/>
      <c r="L56" s="167"/>
      <c r="M56" s="167"/>
      <c r="N56" s="167"/>
      <c r="O56" s="167"/>
      <c r="P56" s="167"/>
      <c r="Q56" s="167"/>
    </row>
    <row r="57" spans="1:22" s="174" customFormat="1">
      <c r="A57" s="171"/>
      <c r="B57" s="172"/>
      <c r="C57" s="172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1:22" s="174" customFormat="1">
      <c r="A58" s="75" t="s">
        <v>355</v>
      </c>
      <c r="B58" s="172"/>
      <c r="C58" s="172"/>
      <c r="D58" s="175"/>
      <c r="E58" s="175"/>
      <c r="F58" s="175">
        <v>643995716</v>
      </c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1:22" s="174" customFormat="1">
      <c r="A59" s="76" t="s">
        <v>30</v>
      </c>
      <c r="B59" s="172"/>
      <c r="C59" s="172"/>
      <c r="D59" s="77"/>
      <c r="E59" s="77"/>
      <c r="F59" s="77">
        <f>F51-F58</f>
        <v>-21856.912547230721</v>
      </c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1" spans="1:22">
      <c r="A61" s="54" t="s">
        <v>13</v>
      </c>
      <c r="B61" s="51"/>
      <c r="C61" s="51"/>
      <c r="D61" s="52"/>
      <c r="E61" s="203"/>
      <c r="F61" s="52"/>
      <c r="G61" s="64"/>
    </row>
    <row r="62" spans="1:22">
      <c r="E62" s="65">
        <v>1000000</v>
      </c>
    </row>
    <row r="63" spans="1:22">
      <c r="A63" s="49" t="s">
        <v>15</v>
      </c>
      <c r="B63" s="48">
        <v>0.75</v>
      </c>
      <c r="C63" s="48">
        <v>0</v>
      </c>
      <c r="D63" s="43">
        <v>10681</v>
      </c>
      <c r="E63" s="173">
        <f>G63/B63*100</f>
        <v>806640</v>
      </c>
      <c r="F63" s="43">
        <v>172984204</v>
      </c>
      <c r="G63" s="53">
        <v>6049.8</v>
      </c>
      <c r="H63" s="53">
        <v>1298557.03</v>
      </c>
      <c r="I63" s="53">
        <f>F63*C63/100</f>
        <v>0</v>
      </c>
      <c r="J63" s="53">
        <v>7082.84</v>
      </c>
      <c r="K63" s="53">
        <v>111.68</v>
      </c>
      <c r="L63" s="53">
        <f t="shared" ref="L63:L68" si="19">G63+H63+I63-J63+K63</f>
        <v>1297635.67</v>
      </c>
      <c r="M63" s="53">
        <v>118376.35</v>
      </c>
      <c r="N63" s="53">
        <f>L63-M63</f>
        <v>1179259.3199999998</v>
      </c>
      <c r="O63" s="53">
        <v>0</v>
      </c>
      <c r="P63" s="53">
        <v>0</v>
      </c>
      <c r="Q63" s="53">
        <f>N63-O63-P63</f>
        <v>1179259.3199999998</v>
      </c>
    </row>
    <row r="64" spans="1:22">
      <c r="A64" s="47" t="s">
        <v>16</v>
      </c>
      <c r="B64" s="48">
        <f>B63</f>
        <v>0.75</v>
      </c>
      <c r="C64" s="48">
        <f>C63</f>
        <v>0</v>
      </c>
      <c r="F64" s="65">
        <f>IF(E62&gt;E63,E62-E63,0)</f>
        <v>193360</v>
      </c>
      <c r="G64" s="53">
        <f>F64*(B64-C64)/100</f>
        <v>1450.2</v>
      </c>
      <c r="I64" s="53">
        <f>F64*C64/100</f>
        <v>0</v>
      </c>
      <c r="L64" s="53">
        <f t="shared" si="19"/>
        <v>1450.2</v>
      </c>
      <c r="N64" s="53">
        <f>L64-M64</f>
        <v>1450.2</v>
      </c>
      <c r="Q64" s="53">
        <f>N64-O64-P64</f>
        <v>1450.2</v>
      </c>
    </row>
    <row r="65" spans="1:22">
      <c r="A65" s="47" t="s">
        <v>17</v>
      </c>
      <c r="B65" s="48">
        <f>B63</f>
        <v>0.75</v>
      </c>
      <c r="C65" s="48">
        <f>C63</f>
        <v>0</v>
      </c>
      <c r="F65" s="66">
        <v>335336704</v>
      </c>
      <c r="H65" s="53">
        <f>F65*(B65-C65)/100</f>
        <v>2515025.2799999998</v>
      </c>
      <c r="I65" s="53">
        <f>F65*C65/100</f>
        <v>0</v>
      </c>
      <c r="J65" s="53">
        <v>0</v>
      </c>
      <c r="K65" s="53">
        <v>0</v>
      </c>
      <c r="L65" s="53">
        <f t="shared" si="19"/>
        <v>2515025.2799999998</v>
      </c>
      <c r="M65" s="53">
        <v>0</v>
      </c>
      <c r="N65" s="53">
        <f>L65-M65</f>
        <v>2515025.2799999998</v>
      </c>
      <c r="O65" s="53">
        <v>0</v>
      </c>
      <c r="P65" s="53">
        <v>0</v>
      </c>
      <c r="Q65" s="53">
        <f>N65-O65-P65</f>
        <v>2515025.2799999998</v>
      </c>
    </row>
    <row r="66" spans="1:22">
      <c r="A66" s="47" t="s">
        <v>18</v>
      </c>
    </row>
    <row r="67" spans="1:22">
      <c r="A67" s="67" t="s">
        <v>19</v>
      </c>
      <c r="B67" s="48">
        <f>B63</f>
        <v>0.75</v>
      </c>
      <c r="C67" s="48">
        <f>C63</f>
        <v>0</v>
      </c>
      <c r="F67" s="43">
        <v>124601122.91</v>
      </c>
      <c r="G67" s="53">
        <f>29890.96*S70</f>
        <v>19494.104347826087</v>
      </c>
      <c r="H67" s="53">
        <f>1432988.63*S70</f>
        <v>934557.80217391299</v>
      </c>
      <c r="I67" s="53">
        <v>0</v>
      </c>
      <c r="J67" s="53">
        <f>29966.68*S70</f>
        <v>19543.486956521741</v>
      </c>
      <c r="K67" s="53">
        <v>0</v>
      </c>
      <c r="L67" s="53">
        <f t="shared" si="19"/>
        <v>934508.41956521734</v>
      </c>
      <c r="M67" s="53">
        <f>25347.05*S70</f>
        <v>16530.684782608696</v>
      </c>
      <c r="N67" s="53">
        <f>L67-M67</f>
        <v>917977.73478260869</v>
      </c>
      <c r="O67" s="53">
        <v>0</v>
      </c>
      <c r="P67" s="53">
        <f>110631.94*S70</f>
        <v>72151.265217391308</v>
      </c>
      <c r="Q67" s="53">
        <f>N67-O67-P67</f>
        <v>845826.46956521738</v>
      </c>
      <c r="S67" s="381">
        <f>Q68-G68</f>
        <v>2446.6956521739194</v>
      </c>
    </row>
    <row r="68" spans="1:22">
      <c r="A68" s="67" t="s">
        <v>20</v>
      </c>
      <c r="B68" s="48">
        <f>B63</f>
        <v>0.75</v>
      </c>
      <c r="C68" s="48">
        <f>C63</f>
        <v>0</v>
      </c>
      <c r="F68" s="43">
        <v>10858457.01</v>
      </c>
      <c r="G68" s="53">
        <f>121113.08*S70</f>
        <v>78986.791304347833</v>
      </c>
      <c r="H68" s="53">
        <f>3759.01*S70</f>
        <v>2451.5282608695652</v>
      </c>
      <c r="I68" s="53">
        <v>0</v>
      </c>
      <c r="J68" s="53">
        <v>0</v>
      </c>
      <c r="K68" s="53">
        <v>0</v>
      </c>
      <c r="L68" s="53">
        <f t="shared" si="19"/>
        <v>81438.319565217404</v>
      </c>
      <c r="M68" s="53">
        <f>7.41*S70</f>
        <v>4.8326086956521737</v>
      </c>
      <c r="N68" s="53">
        <f>L68-M68</f>
        <v>81433.486956521752</v>
      </c>
      <c r="O68" s="53">
        <v>0</v>
      </c>
      <c r="P68" s="53">
        <v>0</v>
      </c>
      <c r="Q68" s="53">
        <f>N68-O68-P68</f>
        <v>81433.486956521752</v>
      </c>
      <c r="S68" s="381">
        <f>G68</f>
        <v>78986.791304347833</v>
      </c>
    </row>
    <row r="70" spans="1:22" s="50" customFormat="1">
      <c r="A70" s="57" t="s">
        <v>31</v>
      </c>
      <c r="B70" s="51">
        <f>B63</f>
        <v>0.75</v>
      </c>
      <c r="C70" s="51">
        <f>C63</f>
        <v>0</v>
      </c>
      <c r="D70" s="78">
        <f t="shared" ref="D70:Q70" si="20">SUM(D63:D65,D67:D68)</f>
        <v>10681</v>
      </c>
      <c r="E70" s="206"/>
      <c r="F70" s="78">
        <f t="shared" si="20"/>
        <v>643973847.91999996</v>
      </c>
      <c r="G70" s="79">
        <f t="shared" si="20"/>
        <v>105980.89565217392</v>
      </c>
      <c r="H70" s="79">
        <f t="shared" si="20"/>
        <v>4750591.640434783</v>
      </c>
      <c r="I70" s="79">
        <f t="shared" si="20"/>
        <v>0</v>
      </c>
      <c r="J70" s="79">
        <f t="shared" si="20"/>
        <v>26626.326956521742</v>
      </c>
      <c r="K70" s="79">
        <f t="shared" si="20"/>
        <v>111.68</v>
      </c>
      <c r="L70" s="79">
        <f t="shared" si="20"/>
        <v>4830057.889130434</v>
      </c>
      <c r="M70" s="79">
        <f t="shared" si="20"/>
        <v>134911.86739130437</v>
      </c>
      <c r="N70" s="79">
        <f t="shared" si="20"/>
        <v>4695146.0217391308</v>
      </c>
      <c r="O70" s="79">
        <f t="shared" si="20"/>
        <v>0</v>
      </c>
      <c r="P70" s="79">
        <f t="shared" si="20"/>
        <v>72151.265217391308</v>
      </c>
      <c r="Q70" s="79">
        <f t="shared" si="20"/>
        <v>4622994.7565217391</v>
      </c>
      <c r="S70" s="183">
        <f>B70/B84</f>
        <v>0.65217391304347827</v>
      </c>
      <c r="V70" s="80"/>
    </row>
    <row r="71" spans="1:22">
      <c r="L71" s="505" t="s">
        <v>388</v>
      </c>
      <c r="M71" s="506">
        <f>M70/L70</f>
        <v>2.7931728871181886E-2</v>
      </c>
      <c r="V71" s="80"/>
    </row>
    <row r="72" spans="1:22">
      <c r="G72" s="81">
        <f>G67+G79</f>
        <v>29890.959999999999</v>
      </c>
      <c r="H72" s="81">
        <f t="shared" ref="H72:Q73" si="21">H67+H79</f>
        <v>1432988.63</v>
      </c>
      <c r="I72" s="81">
        <f t="shared" si="21"/>
        <v>0</v>
      </c>
      <c r="J72" s="81">
        <f t="shared" si="21"/>
        <v>29966.680000000004</v>
      </c>
      <c r="K72" s="81">
        <f t="shared" si="21"/>
        <v>0</v>
      </c>
      <c r="L72" s="81">
        <f t="shared" si="21"/>
        <v>1432912.91</v>
      </c>
      <c r="M72" s="81">
        <f t="shared" si="21"/>
        <v>25347.050000000003</v>
      </c>
      <c r="N72" s="81">
        <f t="shared" si="21"/>
        <v>1407565.86</v>
      </c>
      <c r="O72" s="81">
        <f t="shared" si="21"/>
        <v>0</v>
      </c>
      <c r="P72" s="81">
        <f t="shared" si="21"/>
        <v>110631.94</v>
      </c>
      <c r="Q72" s="81">
        <f t="shared" si="21"/>
        <v>1296933.92</v>
      </c>
      <c r="V72" s="80"/>
    </row>
    <row r="73" spans="1:22">
      <c r="A73" s="154" t="s">
        <v>32</v>
      </c>
      <c r="F73" s="49"/>
      <c r="G73" s="81">
        <f>G68+G80</f>
        <v>121113.08000000002</v>
      </c>
      <c r="H73" s="81">
        <f t="shared" si="21"/>
        <v>3759.01</v>
      </c>
      <c r="I73" s="81">
        <f t="shared" si="21"/>
        <v>0</v>
      </c>
      <c r="J73" s="81">
        <f t="shared" si="21"/>
        <v>0</v>
      </c>
      <c r="K73" s="81">
        <f t="shared" si="21"/>
        <v>0</v>
      </c>
      <c r="L73" s="81">
        <f t="shared" si="21"/>
        <v>124872.09000000003</v>
      </c>
      <c r="M73" s="81">
        <f t="shared" si="21"/>
        <v>7.41</v>
      </c>
      <c r="N73" s="81">
        <f t="shared" si="21"/>
        <v>124864.68000000002</v>
      </c>
      <c r="O73" s="81">
        <f t="shared" si="21"/>
        <v>0</v>
      </c>
      <c r="P73" s="81">
        <f t="shared" si="21"/>
        <v>0</v>
      </c>
      <c r="Q73" s="81">
        <f t="shared" si="21"/>
        <v>124864.68000000002</v>
      </c>
    </row>
    <row r="74" spans="1:22">
      <c r="E74" s="65">
        <v>1000000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22">
      <c r="A75" s="49" t="s">
        <v>15</v>
      </c>
      <c r="B75" s="48">
        <v>0.4</v>
      </c>
      <c r="C75" s="48">
        <v>0</v>
      </c>
      <c r="D75" s="43">
        <v>10681</v>
      </c>
      <c r="E75" s="173">
        <f>G75/B75*100</f>
        <v>806637.5</v>
      </c>
      <c r="F75" s="43">
        <v>172984204</v>
      </c>
      <c r="G75" s="53">
        <v>3226.55</v>
      </c>
      <c r="H75" s="53">
        <v>692562.33</v>
      </c>
      <c r="I75" s="53">
        <f>F75*C75/100</f>
        <v>0</v>
      </c>
      <c r="J75" s="53">
        <v>3777.54</v>
      </c>
      <c r="K75" s="53">
        <v>59.58</v>
      </c>
      <c r="L75" s="53">
        <f>G75+H75+I75-J75+K75</f>
        <v>692070.91999999993</v>
      </c>
      <c r="M75" s="53">
        <v>63135.03</v>
      </c>
      <c r="N75" s="53">
        <f>L75-M75</f>
        <v>628935.8899999999</v>
      </c>
      <c r="O75" s="53">
        <v>0</v>
      </c>
      <c r="P75" s="53">
        <v>0</v>
      </c>
      <c r="Q75" s="53">
        <f>N75-O75-P75</f>
        <v>628935.8899999999</v>
      </c>
    </row>
    <row r="76" spans="1:22">
      <c r="A76" s="47" t="s">
        <v>16</v>
      </c>
      <c r="B76" s="48">
        <f>B75</f>
        <v>0.4</v>
      </c>
      <c r="C76" s="48">
        <f>C75</f>
        <v>0</v>
      </c>
      <c r="F76" s="65">
        <f>IF(E74&gt;E75,E74-E75,0)</f>
        <v>193362.5</v>
      </c>
      <c r="G76" s="53">
        <f>F76*(B76-C76)/100</f>
        <v>773.45</v>
      </c>
      <c r="I76" s="53">
        <f>F76*C76/100</f>
        <v>0</v>
      </c>
      <c r="L76" s="53">
        <f>G76+H76+I76-J76+K76</f>
        <v>773.45</v>
      </c>
      <c r="N76" s="53">
        <f>L76-M76</f>
        <v>773.45</v>
      </c>
      <c r="Q76" s="53">
        <f>N76-O76-P76</f>
        <v>773.45</v>
      </c>
    </row>
    <row r="77" spans="1:22">
      <c r="A77" s="47" t="s">
        <v>17</v>
      </c>
      <c r="B77" s="48">
        <f>B75</f>
        <v>0.4</v>
      </c>
      <c r="C77" s="48">
        <f>C75</f>
        <v>0</v>
      </c>
      <c r="F77" s="66">
        <v>335336704</v>
      </c>
      <c r="H77" s="53">
        <f>F77*(B77-C77)/100</f>
        <v>1341346.8160000001</v>
      </c>
      <c r="I77" s="53">
        <f>F77*C77/100</f>
        <v>0</v>
      </c>
      <c r="J77" s="53">
        <v>0</v>
      </c>
      <c r="K77" s="53">
        <v>0</v>
      </c>
      <c r="L77" s="53">
        <f>G77+H77+I77-J77+K77</f>
        <v>1341346.8160000001</v>
      </c>
      <c r="M77" s="53">
        <v>0</v>
      </c>
      <c r="N77" s="53">
        <f>L77-M77</f>
        <v>1341346.8160000001</v>
      </c>
      <c r="O77" s="53">
        <v>0</v>
      </c>
      <c r="P77" s="53">
        <v>0</v>
      </c>
      <c r="Q77" s="53">
        <f>N77-O77-P77</f>
        <v>1341346.8160000001</v>
      </c>
    </row>
    <row r="78" spans="1:22">
      <c r="A78" s="47" t="s">
        <v>18</v>
      </c>
    </row>
    <row r="79" spans="1:22">
      <c r="A79" s="67" t="s">
        <v>19</v>
      </c>
      <c r="B79" s="48">
        <f>B75</f>
        <v>0.4</v>
      </c>
      <c r="C79" s="48">
        <f>C75</f>
        <v>0</v>
      </c>
      <c r="F79" s="43">
        <v>124601122.91</v>
      </c>
      <c r="G79" s="53">
        <f>29890.96*S82</f>
        <v>10396.855652173914</v>
      </c>
      <c r="H79" s="53">
        <f>1432988.63*S82</f>
        <v>498430.82782608696</v>
      </c>
      <c r="I79" s="53">
        <v>0</v>
      </c>
      <c r="J79" s="53">
        <f>29966.68*S82</f>
        <v>10423.193043478263</v>
      </c>
      <c r="K79" s="53">
        <v>0</v>
      </c>
      <c r="L79" s="53">
        <f t="shared" ref="L79" si="22">G79+H79+I79-J79+K79</f>
        <v>498404.49043478264</v>
      </c>
      <c r="M79" s="53">
        <f>25347.05*S82</f>
        <v>8816.3652173913051</v>
      </c>
      <c r="N79" s="53">
        <f>L79-M79</f>
        <v>489588.12521739135</v>
      </c>
      <c r="O79" s="53">
        <v>0</v>
      </c>
      <c r="P79" s="53">
        <f>110631.94*S82</f>
        <v>38480.674782608701</v>
      </c>
      <c r="Q79" s="53">
        <f>N79-O79-P79</f>
        <v>451107.45043478266</v>
      </c>
      <c r="S79" s="381">
        <f>+Q79+Q67</f>
        <v>1296933.92</v>
      </c>
    </row>
    <row r="80" spans="1:22">
      <c r="A80" s="67" t="s">
        <v>20</v>
      </c>
      <c r="B80" s="48">
        <f>B75</f>
        <v>0.4</v>
      </c>
      <c r="C80" s="48">
        <f>C75</f>
        <v>0</v>
      </c>
      <c r="F80" s="43">
        <v>10858457.01</v>
      </c>
      <c r="G80" s="53">
        <f>121113.08*S82</f>
        <v>42126.288695652183</v>
      </c>
      <c r="H80" s="53">
        <f>3759.01*S82</f>
        <v>1307.481739130435</v>
      </c>
      <c r="I80" s="53">
        <v>0</v>
      </c>
      <c r="J80" s="53">
        <v>0</v>
      </c>
      <c r="K80" s="53">
        <v>0</v>
      </c>
      <c r="L80" s="53">
        <f t="shared" ref="L80" si="23">G80+H80+I80-J80+K80</f>
        <v>43433.770434782622</v>
      </c>
      <c r="M80" s="53">
        <f>7.41*S82</f>
        <v>2.5773913043478265</v>
      </c>
      <c r="N80" s="53">
        <f>L80-M80</f>
        <v>43431.193043478277</v>
      </c>
      <c r="O80" s="53">
        <v>0</v>
      </c>
      <c r="P80" s="53">
        <v>0</v>
      </c>
      <c r="Q80" s="53">
        <f>N80-O80-P80</f>
        <v>43431.193043478277</v>
      </c>
    </row>
    <row r="81" spans="1:22">
      <c r="T81" s="80"/>
    </row>
    <row r="82" spans="1:22" s="50" customFormat="1">
      <c r="A82" s="57" t="str">
        <f>"TOTAL "&amp;A73</f>
        <v>TOTAL SCHOOL DEBT</v>
      </c>
      <c r="B82" s="51">
        <f>B75</f>
        <v>0.4</v>
      </c>
      <c r="C82" s="51">
        <f>C75</f>
        <v>0</v>
      </c>
      <c r="D82" s="78">
        <f t="shared" ref="D82:Q82" si="24">SUM(D75:D77,D79:D80)</f>
        <v>10681</v>
      </c>
      <c r="E82" s="206"/>
      <c r="F82" s="78">
        <f t="shared" si="24"/>
        <v>643973850.41999996</v>
      </c>
      <c r="G82" s="79">
        <f t="shared" si="24"/>
        <v>56523.144347826099</v>
      </c>
      <c r="H82" s="79">
        <f t="shared" si="24"/>
        <v>2533647.4555652174</v>
      </c>
      <c r="I82" s="79">
        <f t="shared" si="24"/>
        <v>0</v>
      </c>
      <c r="J82" s="79">
        <f t="shared" si="24"/>
        <v>14200.733043478263</v>
      </c>
      <c r="K82" s="79">
        <f t="shared" si="24"/>
        <v>59.58</v>
      </c>
      <c r="L82" s="79">
        <f t="shared" si="24"/>
        <v>2576029.4468695656</v>
      </c>
      <c r="M82" s="79">
        <f t="shared" si="24"/>
        <v>71953.972608695651</v>
      </c>
      <c r="N82" s="79">
        <f t="shared" si="24"/>
        <v>2504075.4742608694</v>
      </c>
      <c r="O82" s="79">
        <f t="shared" si="24"/>
        <v>0</v>
      </c>
      <c r="P82" s="79">
        <f t="shared" si="24"/>
        <v>38480.674782608701</v>
      </c>
      <c r="Q82" s="79">
        <f t="shared" si="24"/>
        <v>2465594.7994782608</v>
      </c>
      <c r="S82" s="183">
        <f>B82/B84</f>
        <v>0.34782608695652178</v>
      </c>
      <c r="T82" s="80"/>
      <c r="U82" s="49"/>
      <c r="V82" s="49"/>
    </row>
    <row r="84" spans="1:22" s="50" customFormat="1" ht="13.5" thickBot="1">
      <c r="A84" s="60" t="str">
        <f>"TOTAL "&amp;A61</f>
        <v>TOTAL SCHOOL DISTRICT</v>
      </c>
      <c r="B84" s="68">
        <f>B70+B82</f>
        <v>1.1499999999999999</v>
      </c>
      <c r="C84" s="68">
        <f>C70+C82</f>
        <v>0</v>
      </c>
      <c r="D84" s="69">
        <f>D70</f>
        <v>10681</v>
      </c>
      <c r="E84" s="204"/>
      <c r="F84" s="69">
        <f>F70</f>
        <v>643973847.91999996</v>
      </c>
      <c r="G84" s="70">
        <f t="shared" ref="G84:Q84" si="25">G70+G82</f>
        <v>162504.04</v>
      </c>
      <c r="H84" s="70">
        <f t="shared" si="25"/>
        <v>7284239.0960000008</v>
      </c>
      <c r="I84" s="70">
        <f t="shared" si="25"/>
        <v>0</v>
      </c>
      <c r="J84" s="70">
        <f t="shared" si="25"/>
        <v>40827.060000000005</v>
      </c>
      <c r="K84" s="70">
        <f t="shared" si="25"/>
        <v>171.26</v>
      </c>
      <c r="L84" s="70">
        <f t="shared" si="25"/>
        <v>7406087.3359999992</v>
      </c>
      <c r="M84" s="70">
        <f t="shared" si="25"/>
        <v>206865.84000000003</v>
      </c>
      <c r="N84" s="70">
        <f t="shared" si="25"/>
        <v>7199221.4960000003</v>
      </c>
      <c r="O84" s="70">
        <f t="shared" si="25"/>
        <v>0</v>
      </c>
      <c r="P84" s="70">
        <f t="shared" si="25"/>
        <v>110631.94</v>
      </c>
      <c r="Q84" s="70">
        <f t="shared" si="25"/>
        <v>7088589.5559999999</v>
      </c>
    </row>
    <row r="85" spans="1:22">
      <c r="A85" s="150" t="s">
        <v>355</v>
      </c>
      <c r="F85" s="64">
        <v>643995716</v>
      </c>
    </row>
    <row r="86" spans="1:22">
      <c r="A86" s="151" t="s">
        <v>30</v>
      </c>
      <c r="B86" s="51"/>
      <c r="C86" s="51"/>
      <c r="D86" s="52"/>
      <c r="E86" s="203"/>
      <c r="F86" s="152">
        <f>F84-F85</f>
        <v>-21868.080000042915</v>
      </c>
    </row>
    <row r="87" spans="1:22">
      <c r="A87" s="54" t="s">
        <v>217</v>
      </c>
      <c r="B87" s="51"/>
      <c r="C87" s="51"/>
      <c r="D87" s="52"/>
      <c r="E87" s="203"/>
      <c r="F87" s="52"/>
      <c r="G87" s="64"/>
    </row>
    <row r="88" spans="1:22">
      <c r="E88" s="65">
        <v>500000</v>
      </c>
    </row>
    <row r="89" spans="1:22">
      <c r="A89" s="49" t="s">
        <v>15</v>
      </c>
      <c r="B89" s="48">
        <v>0.56240000000000001</v>
      </c>
      <c r="C89" s="48">
        <v>0</v>
      </c>
      <c r="D89" s="43">
        <v>741</v>
      </c>
      <c r="E89" s="173">
        <f>G89/B89*100</f>
        <v>49999.999999999993</v>
      </c>
      <c r="F89" s="43">
        <v>30724491</v>
      </c>
      <c r="G89" s="53">
        <v>281.2</v>
      </c>
      <c r="H89" s="53">
        <v>173526.12</v>
      </c>
      <c r="I89" s="53">
        <f>F89*C89/100</f>
        <v>0</v>
      </c>
      <c r="J89" s="53">
        <v>966.83</v>
      </c>
      <c r="K89" s="53">
        <v>0</v>
      </c>
      <c r="L89" s="53">
        <f>G89+H89+I89-J89+K89</f>
        <v>172840.49000000002</v>
      </c>
      <c r="M89" s="53">
        <v>11964.11</v>
      </c>
      <c r="N89" s="53">
        <f>+L89-M89</f>
        <v>160876.38</v>
      </c>
      <c r="O89" s="53">
        <v>0</v>
      </c>
      <c r="P89" s="53">
        <v>0</v>
      </c>
      <c r="Q89" s="53">
        <f>N89-O89-P89</f>
        <v>160876.38</v>
      </c>
    </row>
    <row r="90" spans="1:22">
      <c r="A90" s="47" t="s">
        <v>16</v>
      </c>
      <c r="B90" s="48">
        <f>B89</f>
        <v>0.56240000000000001</v>
      </c>
      <c r="C90" s="48">
        <f>C89</f>
        <v>0</v>
      </c>
      <c r="F90" s="65">
        <f>IF(E88&gt;E89,E88-E89,0)</f>
        <v>450000</v>
      </c>
      <c r="G90" s="53">
        <f>F90*(B90-C90)/100</f>
        <v>2530.8000000000002</v>
      </c>
      <c r="I90" s="53">
        <f>F90*C90/100</f>
        <v>0</v>
      </c>
      <c r="L90" s="53">
        <f>G90+H90+I90-J90+K90</f>
        <v>2530.8000000000002</v>
      </c>
      <c r="N90" s="53">
        <f>L90-M90</f>
        <v>2530.8000000000002</v>
      </c>
      <c r="Q90" s="53">
        <f>N90-O90-P90</f>
        <v>2530.8000000000002</v>
      </c>
    </row>
    <row r="91" spans="1:22">
      <c r="A91" s="47" t="s">
        <v>17</v>
      </c>
      <c r="B91" s="48">
        <f>B89</f>
        <v>0.56240000000000001</v>
      </c>
      <c r="C91" s="48">
        <f>C89</f>
        <v>0</v>
      </c>
      <c r="F91" s="66">
        <v>1575512</v>
      </c>
      <c r="H91" s="53">
        <f>F91*(B91-C91)/100</f>
        <v>8860.6794879999998</v>
      </c>
      <c r="I91" s="53">
        <f>F91*C91/100</f>
        <v>0</v>
      </c>
      <c r="J91" s="53">
        <v>0</v>
      </c>
      <c r="K91" s="53">
        <v>0</v>
      </c>
      <c r="L91" s="53">
        <f>G91+H91+I91-J91+K91</f>
        <v>8860.6794879999998</v>
      </c>
      <c r="M91" s="53">
        <v>0</v>
      </c>
      <c r="N91" s="53">
        <f>L91-M91</f>
        <v>8860.6794879999998</v>
      </c>
      <c r="O91" s="53">
        <v>0</v>
      </c>
      <c r="P91" s="53">
        <v>0</v>
      </c>
      <c r="Q91" s="53">
        <f>N91-O91-P91</f>
        <v>8860.6794879999998</v>
      </c>
    </row>
    <row r="92" spans="1:22">
      <c r="A92" s="47" t="s">
        <v>18</v>
      </c>
    </row>
    <row r="93" spans="1:22">
      <c r="A93" s="67" t="s">
        <v>19</v>
      </c>
      <c r="B93" s="48">
        <f>B89</f>
        <v>0.56240000000000001</v>
      </c>
      <c r="C93" s="48">
        <f>C89</f>
        <v>0</v>
      </c>
      <c r="F93" s="43">
        <v>4799503.46</v>
      </c>
      <c r="G93" s="53">
        <v>886.48</v>
      </c>
      <c r="H93" s="53">
        <v>26111.07</v>
      </c>
      <c r="I93" s="53">
        <v>0</v>
      </c>
      <c r="J93" s="53">
        <v>912.74</v>
      </c>
      <c r="K93" s="53">
        <v>0</v>
      </c>
      <c r="L93" s="53">
        <f>G93+H93+I93-J93+K93</f>
        <v>26084.809999999998</v>
      </c>
      <c r="M93" s="53">
        <v>1215.22</v>
      </c>
      <c r="N93" s="53">
        <f>L93-M93</f>
        <v>24869.589999999997</v>
      </c>
      <c r="O93" s="53">
        <v>0</v>
      </c>
      <c r="P93" s="53">
        <v>0</v>
      </c>
      <c r="Q93" s="53">
        <f>N93-O93-P93</f>
        <v>24869.589999999997</v>
      </c>
    </row>
    <row r="94" spans="1:22">
      <c r="A94" s="67" t="s">
        <v>20</v>
      </c>
      <c r="B94" s="48">
        <f>B89</f>
        <v>0.56240000000000001</v>
      </c>
      <c r="C94" s="48">
        <f>C89</f>
        <v>0</v>
      </c>
      <c r="F94" s="43">
        <v>950635.01</v>
      </c>
      <c r="G94" s="53">
        <v>5327.44</v>
      </c>
      <c r="H94" s="53">
        <v>18.86</v>
      </c>
      <c r="I94" s="53">
        <v>0</v>
      </c>
      <c r="J94" s="53">
        <v>0</v>
      </c>
      <c r="K94" s="53">
        <v>0</v>
      </c>
      <c r="L94" s="53">
        <f>G94+H94+I94-J94+K94</f>
        <v>5346.2999999999993</v>
      </c>
      <c r="M94" s="53">
        <v>0.03</v>
      </c>
      <c r="N94" s="53">
        <f>L94-M94</f>
        <v>5346.2699999999995</v>
      </c>
      <c r="O94" s="53">
        <v>0</v>
      </c>
      <c r="P94" s="53">
        <v>0</v>
      </c>
      <c r="Q94" s="53">
        <f>N94-O94-P94</f>
        <v>5346.2699999999995</v>
      </c>
    </row>
    <row r="96" spans="1:22" s="50" customFormat="1" ht="13.5" thickBot="1">
      <c r="A96" s="60" t="str">
        <f>"TOTAL "&amp;A87</f>
        <v>TOTAL CITY OF LOVELOCK</v>
      </c>
      <c r="B96" s="68">
        <f>B89</f>
        <v>0.56240000000000001</v>
      </c>
      <c r="C96" s="68">
        <f>C89</f>
        <v>0</v>
      </c>
      <c r="D96" s="69">
        <f t="shared" ref="D96:Q96" si="26">SUM(D89:D91,D93:D94)</f>
        <v>741</v>
      </c>
      <c r="E96" s="204"/>
      <c r="F96" s="69">
        <f t="shared" si="26"/>
        <v>38500141.469999999</v>
      </c>
      <c r="G96" s="70">
        <f t="shared" si="26"/>
        <v>9025.92</v>
      </c>
      <c r="H96" s="70">
        <f t="shared" si="26"/>
        <v>208516.72948799998</v>
      </c>
      <c r="I96" s="70">
        <f t="shared" si="26"/>
        <v>0</v>
      </c>
      <c r="J96" s="70">
        <f t="shared" si="26"/>
        <v>1879.5700000000002</v>
      </c>
      <c r="K96" s="70">
        <f t="shared" si="26"/>
        <v>0</v>
      </c>
      <c r="L96" s="70">
        <f t="shared" si="26"/>
        <v>215663.07948799999</v>
      </c>
      <c r="M96" s="70">
        <f t="shared" si="26"/>
        <v>13179.36</v>
      </c>
      <c r="N96" s="70">
        <f t="shared" si="26"/>
        <v>202483.71948799997</v>
      </c>
      <c r="O96" s="70">
        <f t="shared" si="26"/>
        <v>0</v>
      </c>
      <c r="P96" s="70">
        <f t="shared" si="26"/>
        <v>0</v>
      </c>
      <c r="Q96" s="70">
        <f t="shared" si="26"/>
        <v>202483.71948799997</v>
      </c>
    </row>
    <row r="97" spans="1:17">
      <c r="A97" s="150" t="s">
        <v>355</v>
      </c>
      <c r="F97" s="64">
        <v>38337342</v>
      </c>
    </row>
    <row r="98" spans="1:17">
      <c r="A98" s="151" t="s">
        <v>30</v>
      </c>
      <c r="B98" s="51"/>
      <c r="C98" s="51"/>
      <c r="D98" s="52"/>
      <c r="E98" s="203"/>
      <c r="F98" s="152">
        <f>F96-F97</f>
        <v>162799.46999999881</v>
      </c>
    </row>
    <row r="99" spans="1:17">
      <c r="A99" s="154" t="s">
        <v>228</v>
      </c>
      <c r="G99" s="64"/>
    </row>
    <row r="100" spans="1:17">
      <c r="E100" s="65">
        <v>7000</v>
      </c>
    </row>
    <row r="101" spans="1:17">
      <c r="A101" s="49" t="s">
        <v>15</v>
      </c>
      <c r="B101" s="48">
        <v>0.15</v>
      </c>
      <c r="C101" s="48">
        <v>0</v>
      </c>
      <c r="D101" s="43">
        <v>251</v>
      </c>
      <c r="E101" s="173">
        <f>G101/B101*100</f>
        <v>18286.666666666668</v>
      </c>
      <c r="F101" s="43">
        <v>2279405</v>
      </c>
      <c r="G101" s="53">
        <v>27.43</v>
      </c>
      <c r="H101" s="53">
        <v>3460.17</v>
      </c>
      <c r="I101" s="53">
        <f>F101*C101/100</f>
        <v>0</v>
      </c>
      <c r="J101" s="53">
        <v>68.25</v>
      </c>
      <c r="K101" s="53">
        <v>8.01</v>
      </c>
      <c r="L101" s="53">
        <f>G101+H101+I101-J101+K101</f>
        <v>3427.36</v>
      </c>
      <c r="M101" s="53">
        <v>666.19</v>
      </c>
      <c r="N101" s="53">
        <f>L101-M101</f>
        <v>2761.17</v>
      </c>
      <c r="O101" s="53">
        <v>0</v>
      </c>
      <c r="P101" s="53">
        <v>0</v>
      </c>
      <c r="Q101" s="53">
        <f>N101-O101-P101</f>
        <v>2761.17</v>
      </c>
    </row>
    <row r="102" spans="1:17">
      <c r="A102" s="47" t="s">
        <v>16</v>
      </c>
      <c r="B102" s="48">
        <f>B101</f>
        <v>0.15</v>
      </c>
      <c r="C102" s="48">
        <f>C101</f>
        <v>0</v>
      </c>
      <c r="F102" s="65">
        <f>IF(E100&gt;E101,E100-E101,0)</f>
        <v>0</v>
      </c>
      <c r="G102" s="53">
        <f>F102*(B102-C102)/100</f>
        <v>0</v>
      </c>
      <c r="I102" s="53">
        <f>F102*C102/100</f>
        <v>0</v>
      </c>
      <c r="L102" s="53">
        <f>G102+H102+I102-J102+K102</f>
        <v>0</v>
      </c>
      <c r="N102" s="53">
        <f>L102-M102</f>
        <v>0</v>
      </c>
      <c r="Q102" s="53">
        <f>N102-O102-P102</f>
        <v>0</v>
      </c>
    </row>
    <row r="103" spans="1:17">
      <c r="A103" s="47" t="s">
        <v>17</v>
      </c>
      <c r="B103" s="48">
        <f>B101</f>
        <v>0.15</v>
      </c>
      <c r="C103" s="48">
        <f>C101</f>
        <v>0</v>
      </c>
      <c r="F103" s="66">
        <v>310666</v>
      </c>
      <c r="H103" s="53">
        <f>F103*(B103-C103)/100</f>
        <v>465.99900000000002</v>
      </c>
      <c r="I103" s="53">
        <f>F103*C103/100</f>
        <v>0</v>
      </c>
      <c r="J103" s="53">
        <v>0</v>
      </c>
      <c r="K103" s="53">
        <v>0</v>
      </c>
      <c r="L103" s="53">
        <f>G103+H103+I103-J103+K103</f>
        <v>465.99900000000002</v>
      </c>
      <c r="M103" s="53">
        <v>0</v>
      </c>
      <c r="N103" s="53">
        <f>L103-M103</f>
        <v>465.99900000000002</v>
      </c>
      <c r="O103" s="53">
        <v>0</v>
      </c>
      <c r="P103" s="53">
        <v>0</v>
      </c>
      <c r="Q103" s="53">
        <f>N103-O103-P103</f>
        <v>465.99900000000002</v>
      </c>
    </row>
    <row r="104" spans="1:17">
      <c r="A104" s="47" t="s">
        <v>18</v>
      </c>
    </row>
    <row r="105" spans="1:17">
      <c r="A105" s="67" t="s">
        <v>19</v>
      </c>
      <c r="B105" s="48">
        <f>B101</f>
        <v>0.15</v>
      </c>
      <c r="C105" s="48">
        <f>C101</f>
        <v>0</v>
      </c>
      <c r="F105" s="43">
        <v>1348329.12</v>
      </c>
      <c r="G105" s="53">
        <v>27.07</v>
      </c>
      <c r="H105" s="53">
        <v>1995.46</v>
      </c>
      <c r="I105" s="53">
        <v>0</v>
      </c>
      <c r="J105" s="53">
        <v>26.44</v>
      </c>
      <c r="K105" s="53">
        <v>0</v>
      </c>
      <c r="L105" s="53">
        <f>G105+H105+I105-J105+K105</f>
        <v>1996.09</v>
      </c>
      <c r="M105" s="53">
        <v>32.18</v>
      </c>
      <c r="N105" s="53">
        <f>L105-M105</f>
        <v>1963.9099999999999</v>
      </c>
      <c r="O105" s="53">
        <v>0</v>
      </c>
      <c r="P105" s="53">
        <v>0</v>
      </c>
      <c r="Q105" s="53">
        <f>N105-O105-P105</f>
        <v>1963.9099999999999</v>
      </c>
    </row>
    <row r="106" spans="1:17">
      <c r="A106" s="67" t="s">
        <v>20</v>
      </c>
      <c r="B106" s="48">
        <f>B101</f>
        <v>0.15</v>
      </c>
      <c r="C106" s="48">
        <f>C101</f>
        <v>0</v>
      </c>
      <c r="F106" s="43">
        <v>113446.57</v>
      </c>
      <c r="G106" s="53">
        <v>158.6</v>
      </c>
      <c r="H106" s="53">
        <v>11.46</v>
      </c>
      <c r="I106" s="53">
        <v>0</v>
      </c>
      <c r="J106" s="53">
        <v>0</v>
      </c>
      <c r="K106" s="53">
        <v>0</v>
      </c>
      <c r="L106" s="53">
        <f>G106+H106+I106-J106+K106</f>
        <v>170.06</v>
      </c>
      <c r="M106" s="53">
        <v>0.03</v>
      </c>
      <c r="N106" s="53">
        <f>L106-M106</f>
        <v>170.03</v>
      </c>
      <c r="O106" s="53">
        <v>0</v>
      </c>
      <c r="P106" s="53">
        <v>0</v>
      </c>
      <c r="Q106" s="53">
        <f>N106-O106-P106</f>
        <v>170.03</v>
      </c>
    </row>
    <row r="108" spans="1:17" s="50" customFormat="1" ht="13.5" thickBot="1">
      <c r="A108" s="60" t="str">
        <f>"TOTAL "&amp;A99</f>
        <v>TOTAL TOWN OF IMLAY</v>
      </c>
      <c r="B108" s="68">
        <f>B101</f>
        <v>0.15</v>
      </c>
      <c r="C108" s="68">
        <f>C101</f>
        <v>0</v>
      </c>
      <c r="D108" s="69">
        <f t="shared" ref="D108:Q108" si="27">SUM(D101:D103,D105:D106)</f>
        <v>251</v>
      </c>
      <c r="E108" s="204"/>
      <c r="F108" s="69">
        <f t="shared" si="27"/>
        <v>4051846.69</v>
      </c>
      <c r="G108" s="70">
        <f t="shared" si="27"/>
        <v>213.1</v>
      </c>
      <c r="H108" s="70">
        <f t="shared" si="27"/>
        <v>5933.0889999999999</v>
      </c>
      <c r="I108" s="70">
        <f t="shared" si="27"/>
        <v>0</v>
      </c>
      <c r="J108" s="70">
        <f t="shared" si="27"/>
        <v>94.69</v>
      </c>
      <c r="K108" s="70">
        <f t="shared" si="27"/>
        <v>8.01</v>
      </c>
      <c r="L108" s="70">
        <f t="shared" si="27"/>
        <v>6059.5090000000009</v>
      </c>
      <c r="M108" s="70">
        <f t="shared" si="27"/>
        <v>698.4</v>
      </c>
      <c r="N108" s="70">
        <f t="shared" si="27"/>
        <v>5361.1089999999995</v>
      </c>
      <c r="O108" s="70">
        <f t="shared" si="27"/>
        <v>0</v>
      </c>
      <c r="P108" s="70">
        <f t="shared" si="27"/>
        <v>0</v>
      </c>
      <c r="Q108" s="70">
        <f t="shared" si="27"/>
        <v>5361.1089999999995</v>
      </c>
    </row>
    <row r="109" spans="1:17">
      <c r="A109" s="150" t="s">
        <v>355</v>
      </c>
      <c r="F109" s="64">
        <v>4037010</v>
      </c>
    </row>
    <row r="110" spans="1:17">
      <c r="A110" s="151" t="s">
        <v>30</v>
      </c>
      <c r="B110" s="51"/>
      <c r="C110" s="51"/>
      <c r="D110" s="52"/>
      <c r="E110" s="203"/>
      <c r="F110" s="152">
        <f>F108-F109</f>
        <v>14836.689999999944</v>
      </c>
    </row>
    <row r="111" spans="1:17">
      <c r="A111" s="54" t="s">
        <v>229</v>
      </c>
      <c r="B111" s="51"/>
      <c r="C111" s="51"/>
      <c r="D111" s="52"/>
      <c r="E111" s="203"/>
      <c r="F111" s="52"/>
      <c r="G111" s="64"/>
    </row>
    <row r="112" spans="1:17">
      <c r="E112" s="65">
        <v>1000000</v>
      </c>
    </row>
    <row r="113" spans="1:17">
      <c r="A113" s="49" t="s">
        <v>15</v>
      </c>
      <c r="B113" s="48">
        <v>0.42000000000000004</v>
      </c>
      <c r="C113" s="48">
        <v>0</v>
      </c>
      <c r="D113" s="43">
        <v>10681</v>
      </c>
      <c r="E113" s="173">
        <f>G113/B113*100</f>
        <v>806633.33333333326</v>
      </c>
      <c r="F113" s="43">
        <v>172984204</v>
      </c>
      <c r="G113" s="53">
        <v>3387.86</v>
      </c>
      <c r="H113" s="53">
        <v>727186.09</v>
      </c>
      <c r="I113" s="53">
        <f>F113*C113/100</f>
        <v>0</v>
      </c>
      <c r="J113" s="53">
        <v>3966.63</v>
      </c>
      <c r="K113" s="53">
        <v>62.51</v>
      </c>
      <c r="L113" s="53">
        <f>G113+H113+I113-J113+K113</f>
        <v>726669.83</v>
      </c>
      <c r="M113" s="53">
        <v>66572.320000000007</v>
      </c>
      <c r="N113" s="53">
        <f>L113-M113</f>
        <v>660097.51</v>
      </c>
      <c r="O113" s="53">
        <v>0</v>
      </c>
      <c r="P113" s="53">
        <v>0</v>
      </c>
      <c r="Q113" s="53">
        <f>N113-O113-P113</f>
        <v>660097.51</v>
      </c>
    </row>
    <row r="114" spans="1:17">
      <c r="A114" s="47" t="s">
        <v>16</v>
      </c>
      <c r="B114" s="48">
        <f>B113</f>
        <v>0.42000000000000004</v>
      </c>
      <c r="C114" s="48">
        <f>C113</f>
        <v>0</v>
      </c>
      <c r="F114" s="65">
        <f>IF(E112&gt;E113,E112-E113,0)</f>
        <v>193366.66666666674</v>
      </c>
      <c r="G114" s="53">
        <f>F114*(B114-C114)/100</f>
        <v>812.14000000000044</v>
      </c>
      <c r="I114" s="53">
        <f>F114*C114/100</f>
        <v>0</v>
      </c>
      <c r="L114" s="53">
        <f>G114+H114+I114-J114+K114</f>
        <v>812.14000000000044</v>
      </c>
      <c r="N114" s="53">
        <f>L114-M114</f>
        <v>812.14000000000044</v>
      </c>
      <c r="Q114" s="53">
        <f>N114-O114-P114</f>
        <v>812.14000000000044</v>
      </c>
    </row>
    <row r="115" spans="1:17">
      <c r="A115" s="47" t="s">
        <v>17</v>
      </c>
      <c r="B115" s="48">
        <f>B113</f>
        <v>0.42000000000000004</v>
      </c>
      <c r="C115" s="48">
        <f>C113</f>
        <v>0</v>
      </c>
      <c r="F115" s="66">
        <v>335336704</v>
      </c>
      <c r="H115" s="53">
        <f>F115*(B115-C115)/100</f>
        <v>1408414.1568</v>
      </c>
      <c r="I115" s="53">
        <f>F115*C115/100</f>
        <v>0</v>
      </c>
      <c r="J115" s="53">
        <v>0</v>
      </c>
      <c r="K115" s="53">
        <v>0</v>
      </c>
      <c r="L115" s="53">
        <f>G115+H115+I115-J115+K115</f>
        <v>1408414.1568</v>
      </c>
      <c r="M115" s="53">
        <v>0</v>
      </c>
      <c r="N115" s="53">
        <f>L115-M115</f>
        <v>1408414.1568</v>
      </c>
      <c r="O115" s="53">
        <v>0</v>
      </c>
      <c r="P115" s="53">
        <v>0</v>
      </c>
      <c r="Q115" s="53">
        <f>N115-O115-P115</f>
        <v>1408414.1568</v>
      </c>
    </row>
    <row r="116" spans="1:17">
      <c r="A116" s="47" t="s">
        <v>18</v>
      </c>
    </row>
    <row r="117" spans="1:17">
      <c r="A117" s="67" t="s">
        <v>19</v>
      </c>
      <c r="B117" s="48">
        <f>B113</f>
        <v>0.42000000000000004</v>
      </c>
      <c r="C117" s="48">
        <f>C113</f>
        <v>0</v>
      </c>
      <c r="F117" s="43">
        <v>127195976.87</v>
      </c>
      <c r="G117" s="53">
        <v>10916.69</v>
      </c>
      <c r="H117" s="53">
        <v>523352.36</v>
      </c>
      <c r="I117" s="53">
        <v>0</v>
      </c>
      <c r="J117" s="53">
        <v>10944.35</v>
      </c>
      <c r="K117" s="53">
        <v>0</v>
      </c>
      <c r="L117" s="53">
        <f>G117+H117+I117-J117+K117</f>
        <v>523324.69999999995</v>
      </c>
      <c r="M117" s="53">
        <v>9257.2000000000007</v>
      </c>
      <c r="N117" s="53">
        <f>L117-M117</f>
        <v>514067.49999999994</v>
      </c>
      <c r="O117" s="53">
        <v>0</v>
      </c>
      <c r="P117" s="53">
        <v>40404.71</v>
      </c>
      <c r="Q117" s="53">
        <f>N117-O117-P117</f>
        <v>473662.78999999992</v>
      </c>
    </row>
    <row r="118" spans="1:17">
      <c r="A118" s="67" t="s">
        <v>20</v>
      </c>
      <c r="B118" s="48">
        <f>B113</f>
        <v>0.42000000000000004</v>
      </c>
      <c r="C118" s="48">
        <f>C113</f>
        <v>0</v>
      </c>
      <c r="F118" s="43">
        <v>10858457.01</v>
      </c>
      <c r="G118" s="53">
        <v>44232.52</v>
      </c>
      <c r="H118" s="53">
        <v>1372.71</v>
      </c>
      <c r="I118" s="53">
        <v>0</v>
      </c>
      <c r="J118" s="53">
        <v>0</v>
      </c>
      <c r="K118" s="53">
        <v>0</v>
      </c>
      <c r="L118" s="53">
        <f>G118+H118+I118-J118+K118</f>
        <v>45605.229999999996</v>
      </c>
      <c r="M118" s="53">
        <v>2.74</v>
      </c>
      <c r="N118" s="53">
        <f>L118-M118</f>
        <v>45602.49</v>
      </c>
      <c r="O118" s="53">
        <v>0</v>
      </c>
      <c r="P118" s="53">
        <v>0</v>
      </c>
      <c r="Q118" s="53">
        <f>N118-O118-P118</f>
        <v>45602.49</v>
      </c>
    </row>
    <row r="120" spans="1:17" s="50" customFormat="1" ht="13.5" thickBot="1">
      <c r="A120" s="60" t="str">
        <f>"TOTAL "&amp;A111</f>
        <v>TOTAL PERSHING CO HOSPITAL DISTRICT</v>
      </c>
      <c r="B120" s="68">
        <f>B113</f>
        <v>0.42000000000000004</v>
      </c>
      <c r="C120" s="68">
        <f>C113</f>
        <v>0</v>
      </c>
      <c r="D120" s="69">
        <f t="shared" ref="D120:Q120" si="28">SUM(D113:D115,D117:D118)</f>
        <v>10681</v>
      </c>
      <c r="E120" s="204"/>
      <c r="F120" s="69">
        <f t="shared" si="28"/>
        <v>646568708.54666662</v>
      </c>
      <c r="G120" s="70">
        <f t="shared" si="28"/>
        <v>59349.21</v>
      </c>
      <c r="H120" s="70">
        <f t="shared" si="28"/>
        <v>2660325.3167999997</v>
      </c>
      <c r="I120" s="70">
        <f t="shared" si="28"/>
        <v>0</v>
      </c>
      <c r="J120" s="70">
        <f t="shared" si="28"/>
        <v>14910.98</v>
      </c>
      <c r="K120" s="70">
        <f t="shared" si="28"/>
        <v>62.51</v>
      </c>
      <c r="L120" s="70">
        <f t="shared" si="28"/>
        <v>2704826.0567999999</v>
      </c>
      <c r="M120" s="70">
        <f t="shared" si="28"/>
        <v>75832.260000000009</v>
      </c>
      <c r="N120" s="70">
        <f t="shared" si="28"/>
        <v>2628993.7968000001</v>
      </c>
      <c r="O120" s="70">
        <f t="shared" si="28"/>
        <v>0</v>
      </c>
      <c r="P120" s="70">
        <f t="shared" si="28"/>
        <v>40404.71</v>
      </c>
      <c r="Q120" s="70">
        <f t="shared" si="28"/>
        <v>2588589.0868000002</v>
      </c>
    </row>
    <row r="121" spans="1:17">
      <c r="A121" s="150" t="s">
        <v>355</v>
      </c>
      <c r="F121" s="64">
        <v>643995716</v>
      </c>
    </row>
    <row r="122" spans="1:17">
      <c r="A122" s="151" t="s">
        <v>30</v>
      </c>
      <c r="B122" s="51"/>
      <c r="C122" s="51"/>
      <c r="D122" s="52"/>
      <c r="E122" s="203"/>
      <c r="F122" s="152">
        <f>F120-F121</f>
        <v>2572992.5466666222</v>
      </c>
    </row>
    <row r="124" spans="1:17">
      <c r="A124" s="57"/>
      <c r="B124" s="176"/>
      <c r="C124" s="176"/>
      <c r="D124" s="177"/>
      <c r="E124" s="207"/>
      <c r="F124" s="177"/>
    </row>
    <row r="127" spans="1:17" ht="16.5" customHeight="1"/>
  </sheetData>
  <customSheetViews>
    <customSheetView guid="{AE6F0488-1842-4C89-B05F-A836B633FB8F}" scale="75" showPageBreaks="1" hiddenColumns="1" showRuler="0">
      <pane xSplit="1" ySplit="3" topLeftCell="F20" activePane="bottomRight" state="frozen"/>
      <selection pane="bottomRight" activeCell="F26" sqref="F26"/>
      <rowBreaks count="2" manualBreakCount="2">
        <brk id="44" max="17" man="1"/>
        <brk id="85" max="17" man="1"/>
      </rowBreaks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Q44" sqref="Q44"/>
      <rowBreaks count="2" manualBreakCount="2">
        <brk id="44" max="17" man="1"/>
        <brk id="85" max="17" man="1"/>
      </rowBreaks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hiddenColumns="1" showRuler="0">
      <pane xSplit="1" ySplit="3" topLeftCell="B19" activePane="bottomRight" state="frozen"/>
      <selection pane="bottomRight" activeCell="F20" sqref="F20"/>
      <rowBreaks count="2" manualBreakCount="2">
        <brk id="44" max="17" man="1"/>
        <brk id="85" max="17" man="1"/>
      </rowBreaks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8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2" manualBreakCount="2">
    <brk id="51" max="16" man="1"/>
    <brk id="86" max="16" man="1"/>
  </rowBreaks>
  <legacy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8" tint="0.79998168889431442"/>
    <pageSetUpPr fitToPage="1"/>
  </sheetPr>
  <dimension ref="A1:Y421"/>
  <sheetViews>
    <sheetView view="pageBreakPreview" zoomScale="91" zoomScaleNormal="80" zoomScaleSheetLayoutView="91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.75"/>
  <cols>
    <col min="1" max="1" width="31.5703125" style="49" customWidth="1"/>
    <col min="2" max="2" width="13.85546875" style="82" customWidth="1"/>
    <col min="3" max="3" width="12" style="82" customWidth="1"/>
    <col min="4" max="4" width="12.85546875" style="82" customWidth="1"/>
    <col min="5" max="5" width="15.5703125" style="209" hidden="1" customWidth="1"/>
    <col min="6" max="6" width="20.28515625" style="82" customWidth="1"/>
    <col min="7" max="7" width="18.42578125" style="82" customWidth="1"/>
    <col min="8" max="8" width="19.28515625" style="49" customWidth="1"/>
    <col min="9" max="9" width="15.42578125" style="49" customWidth="1"/>
    <col min="10" max="10" width="16.85546875" style="49" customWidth="1"/>
    <col min="11" max="11" width="15.42578125" style="49" customWidth="1"/>
    <col min="12" max="12" width="18.7109375" style="49" customWidth="1"/>
    <col min="13" max="13" width="17" style="49" customWidth="1"/>
    <col min="14" max="14" width="19.140625" style="49" customWidth="1"/>
    <col min="15" max="16" width="16.5703125" style="49" customWidth="1"/>
    <col min="17" max="17" width="20.42578125" style="49" customWidth="1"/>
    <col min="18" max="18" width="9.140625" style="49"/>
    <col min="19" max="19" width="12.140625" style="49" customWidth="1"/>
    <col min="20" max="20" width="16.28515625" style="49" customWidth="1"/>
    <col min="21" max="21" width="15.5703125" style="49" bestFit="1" customWidth="1"/>
    <col min="22" max="22" width="15.85546875" style="49" customWidth="1"/>
    <col min="23" max="24" width="16.42578125" style="49" customWidth="1"/>
    <col min="25" max="16384" width="9.140625" style="49"/>
  </cols>
  <sheetData>
    <row r="1" spans="1:25" ht="15.75" customHeight="1">
      <c r="A1" s="1" t="s">
        <v>230</v>
      </c>
      <c r="B1" s="48"/>
      <c r="C1" s="48"/>
      <c r="D1" s="43"/>
      <c r="E1" s="17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ht="15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94.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43"/>
      <c r="C4" s="51"/>
      <c r="D4" s="52"/>
      <c r="E4" s="203"/>
      <c r="F4" s="5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25">
      <c r="A5" s="54" t="s">
        <v>10</v>
      </c>
      <c r="B5" s="51"/>
      <c r="C5" s="51"/>
      <c r="D5" s="52"/>
      <c r="E5" s="203"/>
      <c r="F5" s="5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25">
      <c r="A6" s="50"/>
      <c r="B6" s="51"/>
      <c r="C6" s="51"/>
      <c r="D6" s="52"/>
      <c r="E6" s="203"/>
      <c r="F6" s="5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25">
      <c r="A7" s="47" t="str">
        <f>A15</f>
        <v>STATE OF NEVADA</v>
      </c>
      <c r="B7" s="48">
        <f t="shared" ref="B7:Q7" si="0">B24</f>
        <v>0.17</v>
      </c>
      <c r="C7" s="48">
        <f t="shared" si="0"/>
        <v>0</v>
      </c>
      <c r="D7" s="43">
        <f t="shared" si="0"/>
        <v>4805</v>
      </c>
      <c r="E7" s="173"/>
      <c r="F7" s="43">
        <f t="shared" si="0"/>
        <v>5636417067.1741171</v>
      </c>
      <c r="G7" s="53">
        <f t="shared" si="0"/>
        <v>2354205.6957999999</v>
      </c>
      <c r="H7" s="53">
        <f t="shared" si="0"/>
        <v>7246111.5079000005</v>
      </c>
      <c r="I7" s="53">
        <f t="shared" si="0"/>
        <v>0</v>
      </c>
      <c r="J7" s="53">
        <f t="shared" si="0"/>
        <v>18345.72</v>
      </c>
      <c r="K7" s="53">
        <f t="shared" si="0"/>
        <v>3379.59</v>
      </c>
      <c r="L7" s="53">
        <f t="shared" si="0"/>
        <v>9585351.0737000015</v>
      </c>
      <c r="M7" s="53">
        <f t="shared" si="0"/>
        <v>392930.76</v>
      </c>
      <c r="N7" s="53">
        <f t="shared" si="0"/>
        <v>9192420.3136999998</v>
      </c>
      <c r="O7" s="53">
        <f t="shared" si="0"/>
        <v>0</v>
      </c>
      <c r="P7" s="53">
        <f>P24</f>
        <v>0</v>
      </c>
      <c r="Q7" s="53">
        <f t="shared" si="0"/>
        <v>9192420.3136999998</v>
      </c>
      <c r="W7" s="174" t="s">
        <v>15</v>
      </c>
      <c r="X7" s="284">
        <f>Q17+Q39+Q58+Q70+Q84</f>
        <v>65350400.619999997</v>
      </c>
      <c r="Y7" s="390" t="s">
        <v>461</v>
      </c>
    </row>
    <row r="8" spans="1:25">
      <c r="A8" s="49" t="str">
        <f>A27</f>
        <v>GENERAL COUNTY</v>
      </c>
      <c r="B8" s="48">
        <f t="shared" ref="B8:Q8" si="1">B46</f>
        <v>1.8513999999999999</v>
      </c>
      <c r="C8" s="48">
        <f t="shared" si="1"/>
        <v>0</v>
      </c>
      <c r="D8" s="43">
        <f t="shared" si="1"/>
        <v>4805</v>
      </c>
      <c r="E8" s="173"/>
      <c r="F8" s="43">
        <f>F46</f>
        <v>5636417104.2792645</v>
      </c>
      <c r="G8" s="53">
        <f t="shared" si="1"/>
        <v>25638684.671636</v>
      </c>
      <c r="H8" s="53">
        <f t="shared" si="1"/>
        <v>78914365.353517994</v>
      </c>
      <c r="I8" s="53">
        <f t="shared" si="1"/>
        <v>0</v>
      </c>
      <c r="J8" s="53">
        <f t="shared" si="1"/>
        <v>199796.25</v>
      </c>
      <c r="K8" s="53">
        <f t="shared" si="1"/>
        <v>36805.820000000007</v>
      </c>
      <c r="L8" s="53">
        <f t="shared" si="1"/>
        <v>104390059.595154</v>
      </c>
      <c r="M8" s="53">
        <f t="shared" si="1"/>
        <v>4279248.9399999995</v>
      </c>
      <c r="N8" s="53">
        <f t="shared" si="1"/>
        <v>100110810.655154</v>
      </c>
      <c r="O8" s="53">
        <f t="shared" si="1"/>
        <v>0</v>
      </c>
      <c r="P8" s="53">
        <f>P46</f>
        <v>0</v>
      </c>
      <c r="Q8" s="53">
        <f t="shared" si="1"/>
        <v>100110810.655154</v>
      </c>
      <c r="W8" s="171" t="s">
        <v>16</v>
      </c>
      <c r="X8" s="284">
        <f>Q18+Q40+Q59+Q71+Q85</f>
        <v>46460621.711718</v>
      </c>
    </row>
    <row r="9" spans="1:25">
      <c r="A9" s="47" t="str">
        <f>A56</f>
        <v>SCHOOL DISTRICT</v>
      </c>
      <c r="B9" s="48">
        <f t="shared" ref="B9:Q9" si="2">B79</f>
        <v>0.89470000000000005</v>
      </c>
      <c r="C9" s="48">
        <f t="shared" si="2"/>
        <v>0</v>
      </c>
      <c r="D9" s="43">
        <f t="shared" si="2"/>
        <v>4805</v>
      </c>
      <c r="E9" s="173"/>
      <c r="F9" s="43">
        <f t="shared" si="2"/>
        <v>5636417050.5466661</v>
      </c>
      <c r="G9" s="53">
        <f t="shared" si="2"/>
        <v>12390045.968877999</v>
      </c>
      <c r="H9" s="53">
        <f t="shared" si="2"/>
        <v>38135847.657788992</v>
      </c>
      <c r="I9" s="53">
        <f t="shared" si="2"/>
        <v>0</v>
      </c>
      <c r="J9" s="53">
        <f t="shared" si="2"/>
        <v>96552.63</v>
      </c>
      <c r="K9" s="53">
        <f t="shared" si="2"/>
        <v>17786.97</v>
      </c>
      <c r="L9" s="53">
        <f t="shared" si="2"/>
        <v>50447127.966667004</v>
      </c>
      <c r="M9" s="53">
        <f t="shared" si="2"/>
        <v>2067972.96</v>
      </c>
      <c r="N9" s="53">
        <f t="shared" si="2"/>
        <v>48379155.006667003</v>
      </c>
      <c r="O9" s="53">
        <f t="shared" si="2"/>
        <v>0</v>
      </c>
      <c r="P9" s="53">
        <f>P79</f>
        <v>0</v>
      </c>
      <c r="Q9" s="53">
        <f t="shared" si="2"/>
        <v>48379155.006667003</v>
      </c>
      <c r="W9" s="171" t="s">
        <v>17</v>
      </c>
      <c r="X9" s="284">
        <f>Q19+Q41+Q60+Q72+Q86</f>
        <v>71861099.362209007</v>
      </c>
    </row>
    <row r="10" spans="1:25">
      <c r="A10" s="47" t="s">
        <v>398</v>
      </c>
      <c r="B10" s="48">
        <f>B91</f>
        <v>0.54459999999999997</v>
      </c>
      <c r="C10" s="48">
        <f>C91</f>
        <v>0</v>
      </c>
      <c r="D10" s="43">
        <f>D91</f>
        <v>4805</v>
      </c>
      <c r="E10" s="173"/>
      <c r="F10" s="43">
        <f>F91</f>
        <v>5645240124.9011087</v>
      </c>
      <c r="G10" s="53">
        <f>G91</f>
        <v>7541767.0754040005</v>
      </c>
      <c r="H10" s="53">
        <f t="shared" ref="H10:Q10" si="3">H91</f>
        <v>23213126.323002003</v>
      </c>
      <c r="I10" s="53">
        <f t="shared" si="3"/>
        <v>0</v>
      </c>
      <c r="J10" s="53">
        <f t="shared" si="3"/>
        <v>58770.91</v>
      </c>
      <c r="K10" s="53">
        <f t="shared" si="3"/>
        <v>10826.75</v>
      </c>
      <c r="L10" s="53">
        <f t="shared" si="3"/>
        <v>30706949.238405999</v>
      </c>
      <c r="M10" s="53">
        <f t="shared" si="3"/>
        <v>1258764.7</v>
      </c>
      <c r="N10" s="53">
        <f t="shared" si="3"/>
        <v>29448184.538406003</v>
      </c>
      <c r="O10" s="53">
        <f t="shared" si="3"/>
        <v>0</v>
      </c>
      <c r="P10" s="53">
        <f t="shared" si="3"/>
        <v>0</v>
      </c>
      <c r="Q10" s="53">
        <f t="shared" si="3"/>
        <v>29448184.538406003</v>
      </c>
      <c r="W10" s="171" t="s">
        <v>18</v>
      </c>
      <c r="X10" s="284"/>
    </row>
    <row r="11" spans="1:25">
      <c r="A11" s="57"/>
      <c r="B11" s="51"/>
      <c r="C11" s="51"/>
      <c r="D11" s="52"/>
      <c r="E11" s="203"/>
      <c r="F11" s="52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W11" s="285" t="s">
        <v>19</v>
      </c>
      <c r="X11" s="284">
        <f>N21+Q43+Q62+Q74+Q88</f>
        <v>2802245.46</v>
      </c>
      <c r="Y11" s="390" t="s">
        <v>461</v>
      </c>
    </row>
    <row r="12" spans="1:25" ht="13.5" thickBot="1">
      <c r="A12" s="57" t="s">
        <v>14</v>
      </c>
      <c r="B12" s="51"/>
      <c r="C12" s="51"/>
      <c r="D12" s="69">
        <f>D7</f>
        <v>4805</v>
      </c>
      <c r="E12" s="204"/>
      <c r="F12" s="69">
        <f>F7</f>
        <v>5636417067.1741171</v>
      </c>
      <c r="G12" s="70">
        <f>SUM(G7:G10)</f>
        <v>47924703.411718003</v>
      </c>
      <c r="H12" s="70">
        <f t="shared" ref="H12:Q12" si="4">SUM(H7:H10)</f>
        <v>147509450.84220898</v>
      </c>
      <c r="I12" s="70">
        <f t="shared" si="4"/>
        <v>0</v>
      </c>
      <c r="J12" s="70">
        <f t="shared" si="4"/>
        <v>373465.51</v>
      </c>
      <c r="K12" s="70">
        <f>SUM(K7:K10)</f>
        <v>68799.13</v>
      </c>
      <c r="L12" s="70">
        <f t="shared" si="4"/>
        <v>195129487.873927</v>
      </c>
      <c r="M12" s="70">
        <f t="shared" si="4"/>
        <v>7998917.3599999994</v>
      </c>
      <c r="N12" s="70">
        <f>SUM(N7:N10)</f>
        <v>187130570.51392704</v>
      </c>
      <c r="O12" s="70">
        <f t="shared" si="4"/>
        <v>0</v>
      </c>
      <c r="P12" s="70">
        <f t="shared" si="4"/>
        <v>0</v>
      </c>
      <c r="Q12" s="70">
        <f t="shared" si="4"/>
        <v>187130570.51392704</v>
      </c>
      <c r="W12" s="285" t="s">
        <v>20</v>
      </c>
      <c r="X12" s="284">
        <f>Q22+Q44+Q63+Q75+Q89</f>
        <v>656203.3600000001</v>
      </c>
      <c r="Y12" s="390" t="s">
        <v>461</v>
      </c>
    </row>
    <row r="13" spans="1:25" ht="13.5" thickBot="1">
      <c r="A13" s="60"/>
      <c r="B13" s="61"/>
      <c r="C13" s="61"/>
      <c r="D13" s="62"/>
      <c r="E13" s="215"/>
      <c r="F13" s="62"/>
      <c r="G13" s="62"/>
      <c r="H13" s="62"/>
      <c r="I13" s="62"/>
      <c r="J13" s="62"/>
      <c r="K13" s="62"/>
      <c r="L13" s="279" t="s">
        <v>388</v>
      </c>
      <c r="M13" s="280">
        <f>M12/L12</f>
        <v>4.0992868105963018E-2</v>
      </c>
      <c r="N13" s="62"/>
      <c r="O13" s="62"/>
      <c r="P13" s="62"/>
      <c r="Q13" s="62"/>
      <c r="W13" s="174"/>
      <c r="X13" s="284">
        <f>Q24+Q46+Q65+Q77+Q91</f>
        <v>187130570.51392704</v>
      </c>
    </row>
    <row r="14" spans="1:25">
      <c r="A14" s="50"/>
      <c r="B14" s="51"/>
      <c r="C14" s="51"/>
      <c r="D14" s="52"/>
      <c r="E14" s="203"/>
      <c r="F14" s="5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W14" s="174"/>
      <c r="X14" s="284"/>
    </row>
    <row r="15" spans="1:25">
      <c r="A15" s="54" t="s">
        <v>11</v>
      </c>
      <c r="B15" s="51"/>
      <c r="C15" s="51"/>
      <c r="D15" s="52"/>
      <c r="E15" s="203"/>
      <c r="F15" s="52"/>
      <c r="G15" s="64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25">
      <c r="A16" s="47"/>
      <c r="B16" s="48"/>
      <c r="C16" s="48"/>
      <c r="D16" s="43"/>
      <c r="E16" s="65">
        <v>1347804474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24">
      <c r="A17" s="49" t="s">
        <v>15</v>
      </c>
      <c r="B17" s="48">
        <v>0.17</v>
      </c>
      <c r="C17" s="48">
        <v>0</v>
      </c>
      <c r="D17" s="43">
        <v>4805</v>
      </c>
      <c r="E17" s="173">
        <f>G17/B17*100</f>
        <v>5283564.7058823528</v>
      </c>
      <c r="F17" s="43">
        <v>2112863923</v>
      </c>
      <c r="G17" s="53">
        <v>8982.06</v>
      </c>
      <c r="H17" s="53">
        <v>3586213.48</v>
      </c>
      <c r="I17" s="53">
        <f>F17*C17/100</f>
        <v>0</v>
      </c>
      <c r="J17" s="53">
        <v>3264.4</v>
      </c>
      <c r="K17" s="53">
        <v>3379.59</v>
      </c>
      <c r="L17" s="53">
        <f>G17+H17+I17-J17+K17</f>
        <v>3595310.73</v>
      </c>
      <c r="M17" s="53">
        <v>385098.87</v>
      </c>
      <c r="N17" s="53">
        <f>L17-M17</f>
        <v>3210211.86</v>
      </c>
      <c r="O17" s="53">
        <v>0</v>
      </c>
      <c r="P17" s="339">
        <v>0</v>
      </c>
      <c r="Q17" s="53">
        <f>N17-O17-P17</f>
        <v>3210211.86</v>
      </c>
    </row>
    <row r="18" spans="1:24">
      <c r="A18" s="47" t="s">
        <v>16</v>
      </c>
      <c r="B18" s="48">
        <f>B$17</f>
        <v>0.17</v>
      </c>
      <c r="C18" s="48"/>
      <c r="D18" s="43"/>
      <c r="E18" s="173">
        <v>5283546</v>
      </c>
      <c r="F18" s="65">
        <f>IF(E16&gt;E17,E16-E17,0)</f>
        <v>1342520909.2941177</v>
      </c>
      <c r="G18" s="53">
        <f>F18*(B18-C18)/100</f>
        <v>2282285.5458</v>
      </c>
      <c r="H18" s="53"/>
      <c r="I18" s="53">
        <f>F18*C18/100</f>
        <v>0</v>
      </c>
      <c r="J18" s="53"/>
      <c r="K18" s="53"/>
      <c r="L18" s="53">
        <f>G18+H18+I18-J18+K18</f>
        <v>2282285.5458</v>
      </c>
      <c r="M18" s="53"/>
      <c r="N18" s="53">
        <f>L18-M18</f>
        <v>2282285.5458</v>
      </c>
      <c r="O18" s="53"/>
      <c r="P18" s="53"/>
      <c r="Q18" s="53">
        <f>N18-O18-P18</f>
        <v>2282285.5458</v>
      </c>
      <c r="X18" s="53">
        <f>X13-Q12</f>
        <v>0</v>
      </c>
    </row>
    <row r="19" spans="1:24">
      <c r="A19" s="47" t="s">
        <v>17</v>
      </c>
      <c r="B19" s="48">
        <f>B$17</f>
        <v>0.17</v>
      </c>
      <c r="C19" s="48"/>
      <c r="D19" s="43"/>
      <c r="E19" s="173"/>
      <c r="F19" s="66">
        <v>2076490287</v>
      </c>
      <c r="G19" s="53"/>
      <c r="H19" s="53">
        <f>F19*(B19-C19)/100</f>
        <v>3530033.4879000001</v>
      </c>
      <c r="I19" s="53">
        <f>F19*C19/100</f>
        <v>0</v>
      </c>
      <c r="J19" s="53">
        <v>0</v>
      </c>
      <c r="K19" s="53">
        <v>0</v>
      </c>
      <c r="L19" s="53">
        <f>G19+H19+I19-J19+K19</f>
        <v>3530033.4879000001</v>
      </c>
      <c r="M19" s="53">
        <v>0</v>
      </c>
      <c r="N19" s="53">
        <f>L19-M19</f>
        <v>3530033.4879000001</v>
      </c>
      <c r="O19" s="53">
        <v>0</v>
      </c>
      <c r="P19" s="53">
        <v>0</v>
      </c>
      <c r="Q19" s="53">
        <f>N19-O19-P19</f>
        <v>3530033.4879000001</v>
      </c>
    </row>
    <row r="20" spans="1:24">
      <c r="A20" s="47" t="s">
        <v>18</v>
      </c>
      <c r="B20" s="48"/>
      <c r="C20" s="48"/>
      <c r="D20" s="43"/>
      <c r="E20" s="173"/>
      <c r="F20" s="43"/>
      <c r="G20" s="53"/>
      <c r="H20" s="53"/>
      <c r="I20" s="53"/>
      <c r="J20" s="53"/>
      <c r="K20" s="53"/>
      <c r="L20" s="53">
        <f t="shared" ref="L20:L21" si="5">G20+H20+I20-J20+K20</f>
        <v>0</v>
      </c>
      <c r="M20" s="53"/>
      <c r="N20" s="53">
        <f t="shared" ref="N20:N21" si="6">L20-M20</f>
        <v>0</v>
      </c>
      <c r="O20" s="53"/>
      <c r="P20" s="53"/>
      <c r="Q20" s="53">
        <f t="shared" ref="Q20:Q21" si="7">N20-O20-P20</f>
        <v>0</v>
      </c>
    </row>
    <row r="21" spans="1:24">
      <c r="A21" s="67" t="s">
        <v>19</v>
      </c>
      <c r="B21" s="48">
        <f>B$17</f>
        <v>0.17</v>
      </c>
      <c r="C21" s="48"/>
      <c r="D21" s="43"/>
      <c r="E21" s="173"/>
      <c r="F21" s="43">
        <v>85580288.689999998</v>
      </c>
      <c r="G21" s="53">
        <v>30764.5</v>
      </c>
      <c r="H21" s="53">
        <v>129803.31</v>
      </c>
      <c r="I21" s="53">
        <f>F21*C21/100</f>
        <v>0</v>
      </c>
      <c r="J21" s="53">
        <v>15081.32</v>
      </c>
      <c r="K21" s="53">
        <v>0</v>
      </c>
      <c r="L21" s="53">
        <f t="shared" si="5"/>
        <v>145486.49</v>
      </c>
      <c r="M21" s="53">
        <v>7831.77</v>
      </c>
      <c r="N21" s="53">
        <f t="shared" si="6"/>
        <v>137654.72</v>
      </c>
      <c r="O21" s="53">
        <v>0</v>
      </c>
      <c r="P21" s="53">
        <v>0</v>
      </c>
      <c r="Q21" s="53">
        <f t="shared" si="7"/>
        <v>137654.72</v>
      </c>
    </row>
    <row r="22" spans="1:24">
      <c r="A22" s="67" t="s">
        <v>20</v>
      </c>
      <c r="B22" s="48">
        <f>B$17</f>
        <v>0.17</v>
      </c>
      <c r="C22" s="48"/>
      <c r="D22" s="43"/>
      <c r="E22" s="173"/>
      <c r="F22" s="43">
        <v>18961659.190000001</v>
      </c>
      <c r="G22" s="53">
        <v>32173.59</v>
      </c>
      <c r="H22" s="53">
        <v>61.23</v>
      </c>
      <c r="I22" s="53">
        <v>0</v>
      </c>
      <c r="J22" s="53">
        <v>0</v>
      </c>
      <c r="K22" s="53">
        <v>0</v>
      </c>
      <c r="L22" s="53">
        <f>G22+H22+I22-J22+K22</f>
        <v>32234.82</v>
      </c>
      <c r="M22" s="53">
        <v>0.12</v>
      </c>
      <c r="N22" s="53">
        <f>L22-M22</f>
        <v>32234.7</v>
      </c>
      <c r="O22" s="53">
        <v>0</v>
      </c>
      <c r="P22" s="53">
        <v>0</v>
      </c>
      <c r="Q22" s="53">
        <f>N22-O22-P22</f>
        <v>32234.7</v>
      </c>
    </row>
    <row r="23" spans="1:24">
      <c r="A23" s="47"/>
      <c r="B23" s="48"/>
      <c r="C23" s="48"/>
      <c r="D23" s="43"/>
      <c r="E23" s="173"/>
      <c r="F23" s="4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24" s="50" customFormat="1" ht="13.5" thickBot="1">
      <c r="A24" s="60" t="str">
        <f>"TOTAL "&amp;A15</f>
        <v>TOTAL STATE OF NEVADA</v>
      </c>
      <c r="B24" s="68">
        <f>B17</f>
        <v>0.17</v>
      </c>
      <c r="C24" s="68">
        <f>C17</f>
        <v>0</v>
      </c>
      <c r="D24" s="69">
        <f t="shared" ref="D24:Q24" si="8">SUM(D17:D19,D21:D22)</f>
        <v>4805</v>
      </c>
      <c r="E24" s="204"/>
      <c r="F24" s="69">
        <f t="shared" si="8"/>
        <v>5636417067.1741171</v>
      </c>
      <c r="G24" s="70">
        <f t="shared" si="8"/>
        <v>2354205.6957999999</v>
      </c>
      <c r="H24" s="70">
        <f t="shared" si="8"/>
        <v>7246111.5079000005</v>
      </c>
      <c r="I24" s="70">
        <f t="shared" si="8"/>
        <v>0</v>
      </c>
      <c r="J24" s="70">
        <f t="shared" si="8"/>
        <v>18345.72</v>
      </c>
      <c r="K24" s="70">
        <f t="shared" si="8"/>
        <v>3379.59</v>
      </c>
      <c r="L24" s="70">
        <f t="shared" si="8"/>
        <v>9585351.0737000015</v>
      </c>
      <c r="M24" s="70">
        <f t="shared" si="8"/>
        <v>392930.76</v>
      </c>
      <c r="N24" s="70">
        <f>SUM(N17:N19,N21:N22)</f>
        <v>9192420.3136999998</v>
      </c>
      <c r="O24" s="70">
        <f t="shared" si="8"/>
        <v>0</v>
      </c>
      <c r="P24" s="70">
        <f t="shared" si="8"/>
        <v>0</v>
      </c>
      <c r="Q24" s="70">
        <f t="shared" si="8"/>
        <v>9192420.3136999998</v>
      </c>
    </row>
    <row r="25" spans="1:24">
      <c r="A25" s="150" t="s">
        <v>355</v>
      </c>
      <c r="B25" s="48"/>
      <c r="C25" s="48"/>
      <c r="D25" s="43"/>
      <c r="E25" s="173"/>
      <c r="F25" s="64">
        <v>5636417086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24">
      <c r="A26" s="151" t="s">
        <v>30</v>
      </c>
      <c r="B26" s="51"/>
      <c r="C26" s="51"/>
      <c r="D26" s="52"/>
      <c r="E26" s="203"/>
      <c r="F26" s="152">
        <f>F24-F25</f>
        <v>-18.825882911682129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T26" s="266" t="s">
        <v>378</v>
      </c>
      <c r="U26" s="266" t="s">
        <v>384</v>
      </c>
      <c r="V26" s="266" t="s">
        <v>227</v>
      </c>
    </row>
    <row r="27" spans="1:24">
      <c r="A27" s="54" t="s">
        <v>12</v>
      </c>
      <c r="B27" s="48"/>
      <c r="C27" s="48"/>
      <c r="D27" s="43"/>
      <c r="E27" s="173"/>
      <c r="F27" s="43"/>
      <c r="G27" s="64"/>
      <c r="H27" s="43"/>
      <c r="I27" s="43"/>
      <c r="J27" s="43"/>
      <c r="K27" s="43"/>
      <c r="L27" s="43"/>
      <c r="M27" s="43"/>
      <c r="N27" s="43"/>
      <c r="O27" s="43"/>
      <c r="P27" s="43"/>
      <c r="Q27" s="43"/>
      <c r="T27" s="266" t="s">
        <v>379</v>
      </c>
      <c r="U27" s="266" t="s">
        <v>385</v>
      </c>
      <c r="V27" s="266" t="s">
        <v>382</v>
      </c>
    </row>
    <row r="28" spans="1:24">
      <c r="A28" s="47"/>
      <c r="B28" s="48"/>
      <c r="C28" s="48"/>
      <c r="D28" s="43"/>
      <c r="E28" s="173"/>
      <c r="F28" s="463">
        <f>(G39+H39)/B39*100</f>
        <v>2114818087.9334557</v>
      </c>
      <c r="G28" s="463"/>
      <c r="H28" s="464">
        <f>F28-J28</f>
        <v>2112897820.5682185</v>
      </c>
      <c r="I28" s="463"/>
      <c r="J28" s="463">
        <f>J39/B39*100</f>
        <v>1920267.365237118</v>
      </c>
      <c r="K28" s="43"/>
      <c r="L28" s="43"/>
      <c r="M28" s="43"/>
      <c r="N28" s="43"/>
      <c r="O28" s="43"/>
      <c r="P28" s="43"/>
      <c r="Q28" s="43"/>
      <c r="T28" s="266"/>
      <c r="U28" s="266" t="s">
        <v>381</v>
      </c>
      <c r="V28" s="266" t="s">
        <v>383</v>
      </c>
    </row>
    <row r="29" spans="1:24">
      <c r="A29" s="49" t="s">
        <v>15</v>
      </c>
      <c r="B29" s="48"/>
      <c r="C29" s="48"/>
      <c r="D29" s="43"/>
      <c r="E29" s="17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T29" s="266"/>
      <c r="U29" s="266"/>
      <c r="V29" s="266"/>
    </row>
    <row r="30" spans="1:24">
      <c r="A30" s="321" t="s">
        <v>225</v>
      </c>
      <c r="B30" s="48">
        <v>1.0219</v>
      </c>
      <c r="C30" s="48">
        <v>0</v>
      </c>
      <c r="D30" s="43">
        <v>4805</v>
      </c>
      <c r="E30" s="173"/>
      <c r="F30" s="336">
        <v>2112863923</v>
      </c>
      <c r="G30" s="401">
        <v>53992.07</v>
      </c>
      <c r="H30" s="401">
        <v>21557314.41</v>
      </c>
      <c r="I30" s="53">
        <v>0</v>
      </c>
      <c r="J30" s="401">
        <v>19623.63</v>
      </c>
      <c r="K30" s="401">
        <v>20315.32</v>
      </c>
      <c r="L30" s="53">
        <f>G30+H30+I30-J30+K30</f>
        <v>21611998.170000002</v>
      </c>
      <c r="M30" s="401">
        <v>2314896.19</v>
      </c>
      <c r="N30" s="53">
        <f>L30-M30</f>
        <v>19297101.98</v>
      </c>
      <c r="O30" s="53">
        <v>0</v>
      </c>
      <c r="P30" s="53">
        <v>0</v>
      </c>
      <c r="Q30" s="53">
        <f>N30-O30-P30</f>
        <v>19297101.98</v>
      </c>
      <c r="R30" s="326"/>
      <c r="T30" s="267">
        <f>B30/$B$39</f>
        <v>0.55196067840553098</v>
      </c>
      <c r="U30" s="153">
        <f>$T$44*T30</f>
        <v>35960111.095460124</v>
      </c>
      <c r="V30" s="153">
        <f>Q30+U30</f>
        <v>55257213.075460121</v>
      </c>
    </row>
    <row r="31" spans="1:24">
      <c r="A31" s="321" t="s">
        <v>560</v>
      </c>
      <c r="B31" s="48">
        <v>0.2</v>
      </c>
      <c r="C31" s="48"/>
      <c r="D31" s="43">
        <v>4805</v>
      </c>
      <c r="E31" s="173"/>
      <c r="F31" s="43">
        <v>2112863923</v>
      </c>
      <c r="G31" s="53">
        <v>10567.1</v>
      </c>
      <c r="H31" s="53">
        <v>4219071.22</v>
      </c>
      <c r="I31" s="53">
        <v>0</v>
      </c>
      <c r="J31" s="53">
        <v>3840.53</v>
      </c>
      <c r="K31" s="53">
        <v>3975.94</v>
      </c>
      <c r="L31" s="53">
        <f t="shared" ref="L31:L36" si="9">G31+H31+I31-J31+K31</f>
        <v>4229773.7299999995</v>
      </c>
      <c r="M31" s="53">
        <v>453058.02</v>
      </c>
      <c r="N31" s="53">
        <f t="shared" ref="N31:N36" si="10">L31-M31</f>
        <v>3776715.7099999995</v>
      </c>
      <c r="O31" s="53">
        <v>0</v>
      </c>
      <c r="P31" s="53">
        <v>0</v>
      </c>
      <c r="Q31" s="53">
        <f t="shared" ref="Q31:Q36" si="11">N31-O31-P31</f>
        <v>3776715.7099999995</v>
      </c>
      <c r="T31" s="267">
        <f t="shared" ref="T31:T37" si="12">B31/$B$39</f>
        <v>0.10802635843145729</v>
      </c>
      <c r="U31" s="153">
        <f t="shared" ref="U31:U37" si="13">$T$44*T31</f>
        <v>7037892.3760563908</v>
      </c>
      <c r="V31" s="153">
        <f t="shared" ref="V31:V37" si="14">Q31+U31</f>
        <v>10814608.086056391</v>
      </c>
    </row>
    <row r="32" spans="1:24">
      <c r="A32" s="321" t="s">
        <v>561</v>
      </c>
      <c r="B32" s="48">
        <v>0.01</v>
      </c>
      <c r="C32" s="48"/>
      <c r="D32" s="43">
        <v>4805</v>
      </c>
      <c r="E32" s="173"/>
      <c r="F32" s="43">
        <v>2112863923</v>
      </c>
      <c r="G32" s="53">
        <v>528.36</v>
      </c>
      <c r="H32" s="53">
        <v>210956.45</v>
      </c>
      <c r="I32" s="53">
        <v>0</v>
      </c>
      <c r="J32" s="53">
        <v>191.8</v>
      </c>
      <c r="K32" s="53">
        <v>198.83</v>
      </c>
      <c r="L32" s="53">
        <f t="shared" si="9"/>
        <v>211491.84</v>
      </c>
      <c r="M32" s="53">
        <v>22653.040000000001</v>
      </c>
      <c r="N32" s="53">
        <f t="shared" si="10"/>
        <v>188838.8</v>
      </c>
      <c r="O32" s="53">
        <v>0</v>
      </c>
      <c r="P32" s="53">
        <v>0</v>
      </c>
      <c r="Q32" s="53">
        <f t="shared" si="11"/>
        <v>188838.8</v>
      </c>
      <c r="T32" s="267">
        <f t="shared" si="12"/>
        <v>5.4013179215728641E-3</v>
      </c>
      <c r="U32" s="153">
        <f t="shared" si="13"/>
        <v>351894.61880281952</v>
      </c>
      <c r="V32" s="153">
        <f t="shared" si="14"/>
        <v>540733.41880281945</v>
      </c>
    </row>
    <row r="33" spans="1:22">
      <c r="A33" s="321" t="s">
        <v>562</v>
      </c>
      <c r="B33" s="48">
        <v>1.4999999999999999E-2</v>
      </c>
      <c r="C33" s="48"/>
      <c r="D33" s="43">
        <v>4805</v>
      </c>
      <c r="E33" s="173"/>
      <c r="F33" s="43">
        <v>2112863923</v>
      </c>
      <c r="G33" s="53">
        <v>792.56</v>
      </c>
      <c r="H33" s="53">
        <v>316431.62</v>
      </c>
      <c r="I33" s="53">
        <v>0</v>
      </c>
      <c r="J33" s="53">
        <v>288.07</v>
      </c>
      <c r="K33" s="53">
        <v>298.14999999999998</v>
      </c>
      <c r="L33" s="53">
        <f t="shared" si="9"/>
        <v>317234.26</v>
      </c>
      <c r="M33" s="53">
        <v>33979.360000000001</v>
      </c>
      <c r="N33" s="53">
        <f t="shared" si="10"/>
        <v>283254.90000000002</v>
      </c>
      <c r="O33" s="53">
        <v>0</v>
      </c>
      <c r="P33" s="53">
        <v>0</v>
      </c>
      <c r="Q33" s="53">
        <f t="shared" si="11"/>
        <v>283254.90000000002</v>
      </c>
      <c r="T33" s="267">
        <f t="shared" si="12"/>
        <v>8.1019768823592953E-3</v>
      </c>
      <c r="U33" s="153">
        <f t="shared" si="13"/>
        <v>527841.92820422922</v>
      </c>
      <c r="V33" s="153">
        <f t="shared" si="14"/>
        <v>811096.82820422924</v>
      </c>
    </row>
    <row r="34" spans="1:22">
      <c r="A34" s="321" t="s">
        <v>563</v>
      </c>
      <c r="B34" s="48">
        <v>4.4999999999999997E-3</v>
      </c>
      <c r="C34" s="48"/>
      <c r="D34" s="43">
        <v>4805</v>
      </c>
      <c r="E34" s="173"/>
      <c r="F34" s="43">
        <v>2112863923</v>
      </c>
      <c r="G34" s="53">
        <v>237.72</v>
      </c>
      <c r="H34" s="53">
        <v>94929.95</v>
      </c>
      <c r="I34" s="53">
        <v>0</v>
      </c>
      <c r="J34" s="53">
        <v>86.26</v>
      </c>
      <c r="K34" s="53">
        <v>89.4</v>
      </c>
      <c r="L34" s="53">
        <f t="shared" si="9"/>
        <v>95170.81</v>
      </c>
      <c r="M34" s="53">
        <v>10194.33</v>
      </c>
      <c r="N34" s="53">
        <f t="shared" si="10"/>
        <v>84976.48</v>
      </c>
      <c r="O34" s="53">
        <v>0</v>
      </c>
      <c r="P34" s="53"/>
      <c r="Q34" s="53">
        <f t="shared" si="11"/>
        <v>84976.48</v>
      </c>
      <c r="T34" s="267">
        <f t="shared" si="12"/>
        <v>2.4305930647077886E-3</v>
      </c>
      <c r="U34" s="153">
        <f t="shared" si="13"/>
        <v>158352.57846126877</v>
      </c>
      <c r="V34" s="153">
        <f t="shared" si="14"/>
        <v>243329.05846126878</v>
      </c>
    </row>
    <row r="35" spans="1:22">
      <c r="A35" s="321" t="s">
        <v>564</v>
      </c>
      <c r="B35" s="48">
        <v>0.3</v>
      </c>
      <c r="C35" s="48"/>
      <c r="D35" s="43">
        <v>4805</v>
      </c>
      <c r="E35" s="173"/>
      <c r="F35" s="43">
        <v>2112863923</v>
      </c>
      <c r="G35" s="53">
        <v>15850.71</v>
      </c>
      <c r="H35" s="53">
        <v>6328609.5999999996</v>
      </c>
      <c r="I35" s="53">
        <v>0</v>
      </c>
      <c r="J35" s="53">
        <v>5760.77</v>
      </c>
      <c r="K35" s="53">
        <v>5964.09</v>
      </c>
      <c r="L35" s="53">
        <f t="shared" si="9"/>
        <v>6344663.6299999999</v>
      </c>
      <c r="M35" s="130">
        <v>679587.1</v>
      </c>
      <c r="N35" s="53">
        <f t="shared" si="10"/>
        <v>5665076.5300000003</v>
      </c>
      <c r="O35" s="53"/>
      <c r="P35" s="53"/>
      <c r="Q35" s="53">
        <f t="shared" si="11"/>
        <v>5665076.5300000003</v>
      </c>
      <c r="T35" s="267">
        <f t="shared" si="12"/>
        <v>0.1620395376471859</v>
      </c>
      <c r="U35" s="153">
        <f t="shared" si="13"/>
        <v>10556838.564084584</v>
      </c>
      <c r="V35" s="153">
        <f t="shared" si="14"/>
        <v>16221915.094084583</v>
      </c>
    </row>
    <row r="36" spans="1:22">
      <c r="A36" s="321" t="s">
        <v>565</v>
      </c>
      <c r="B36" s="48">
        <v>0.3</v>
      </c>
      <c r="C36" s="48"/>
      <c r="D36" s="43">
        <v>4805</v>
      </c>
      <c r="E36" s="173"/>
      <c r="F36" s="43">
        <v>2112863923</v>
      </c>
      <c r="G36" s="53">
        <v>15850.71</v>
      </c>
      <c r="H36" s="53">
        <v>6328609.5999999996</v>
      </c>
      <c r="I36" s="53">
        <v>0</v>
      </c>
      <c r="J36" s="53">
        <v>5760.77</v>
      </c>
      <c r="K36" s="53">
        <v>5964.09</v>
      </c>
      <c r="L36" s="53">
        <f t="shared" si="9"/>
        <v>6344663.6299999999</v>
      </c>
      <c r="M36" s="53">
        <v>679587.1</v>
      </c>
      <c r="N36" s="53">
        <f t="shared" si="10"/>
        <v>5665076.5300000003</v>
      </c>
      <c r="O36" s="53"/>
      <c r="P36" s="53"/>
      <c r="Q36" s="53">
        <f t="shared" si="11"/>
        <v>5665076.5300000003</v>
      </c>
      <c r="T36" s="267">
        <f t="shared" si="12"/>
        <v>0.1620395376471859</v>
      </c>
      <c r="U36" s="153">
        <f t="shared" si="13"/>
        <v>10556838.564084584</v>
      </c>
      <c r="V36" s="153">
        <f t="shared" si="14"/>
        <v>16221915.094084583</v>
      </c>
    </row>
    <row r="37" spans="1:22">
      <c r="A37" s="321" t="s">
        <v>442</v>
      </c>
      <c r="B37" s="48"/>
      <c r="C37" s="48"/>
      <c r="D37" s="43"/>
      <c r="E37" s="173"/>
      <c r="F37" s="4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T37" s="267">
        <f t="shared" si="12"/>
        <v>0</v>
      </c>
      <c r="U37" s="153">
        <f t="shared" si="13"/>
        <v>0</v>
      </c>
      <c r="V37" s="153">
        <f t="shared" si="14"/>
        <v>0</v>
      </c>
    </row>
    <row r="38" spans="1:22" s="50" customFormat="1">
      <c r="A38" s="71"/>
      <c r="B38" s="51"/>
      <c r="C38" s="51"/>
      <c r="D38" s="52"/>
      <c r="E38" s="65">
        <v>1347804474</v>
      </c>
      <c r="F38" s="52"/>
      <c r="G38" s="59"/>
      <c r="H38" s="59"/>
      <c r="I38" s="59"/>
      <c r="J38" s="59"/>
      <c r="K38" s="59"/>
      <c r="L38" s="59"/>
      <c r="M38" s="59"/>
      <c r="N38" s="59"/>
      <c r="O38" s="59"/>
      <c r="P38" s="59">
        <f t="shared" ref="P38" si="15">SUM(N38:O38)</f>
        <v>0</v>
      </c>
      <c r="Q38" s="59"/>
      <c r="T38" s="268"/>
      <c r="U38" s="268"/>
      <c r="V38" s="268"/>
    </row>
    <row r="39" spans="1:22" ht="17.25" customHeight="1">
      <c r="A39" s="103" t="s">
        <v>26</v>
      </c>
      <c r="B39" s="48">
        <f>SUM(B30:B38)</f>
        <v>1.8513999999999999</v>
      </c>
      <c r="C39" s="48">
        <f>-SUM(C30:C38)</f>
        <v>0</v>
      </c>
      <c r="D39" s="72">
        <f>+D30</f>
        <v>4805</v>
      </c>
      <c r="E39" s="208">
        <f>G39/B39*100</f>
        <v>5283527.6007345784</v>
      </c>
      <c r="F39" s="72">
        <f>+F30</f>
        <v>2112863923</v>
      </c>
      <c r="G39" s="73">
        <f t="shared" ref="G39:Q39" si="16">SUM(G30:G37)</f>
        <v>97819.229999999981</v>
      </c>
      <c r="H39" s="73">
        <f t="shared" si="16"/>
        <v>39055922.850000001</v>
      </c>
      <c r="I39" s="73">
        <f t="shared" si="16"/>
        <v>0</v>
      </c>
      <c r="J39" s="73">
        <f t="shared" si="16"/>
        <v>35551.83</v>
      </c>
      <c r="K39" s="73">
        <f t="shared" si="16"/>
        <v>36805.820000000007</v>
      </c>
      <c r="L39" s="73">
        <f t="shared" si="16"/>
        <v>39154996.07</v>
      </c>
      <c r="M39" s="73">
        <f t="shared" si="16"/>
        <v>4193955.14</v>
      </c>
      <c r="N39" s="73">
        <f t="shared" si="16"/>
        <v>34961040.93</v>
      </c>
      <c r="O39" s="73">
        <f t="shared" si="16"/>
        <v>0</v>
      </c>
      <c r="P39" s="73">
        <f t="shared" si="16"/>
        <v>0</v>
      </c>
      <c r="Q39" s="73">
        <f t="shared" si="16"/>
        <v>34961040.93</v>
      </c>
      <c r="T39" s="267">
        <f>SUM(T30:T37)</f>
        <v>1</v>
      </c>
      <c r="U39" s="153">
        <f>SUM(U30:U37)</f>
        <v>65149769.725153998</v>
      </c>
      <c r="V39" s="153">
        <f>SUM(V30:V37)</f>
        <v>100110810.65515399</v>
      </c>
    </row>
    <row r="40" spans="1:22" ht="21" customHeight="1">
      <c r="A40" s="47" t="s">
        <v>16</v>
      </c>
      <c r="B40" s="48">
        <f>B39</f>
        <v>1.8513999999999999</v>
      </c>
      <c r="C40" s="48">
        <f>C39</f>
        <v>0</v>
      </c>
      <c r="D40" s="43"/>
      <c r="E40" s="173"/>
      <c r="F40" s="65">
        <f>IF(E38&gt;E39,E38-E39,0)</f>
        <v>1342520946.3992655</v>
      </c>
      <c r="G40" s="53">
        <f>F40*(B40-C40)/100</f>
        <v>24855432.801635999</v>
      </c>
      <c r="H40" s="53">
        <v>0</v>
      </c>
      <c r="I40" s="53">
        <f>F40*C40/100</f>
        <v>0</v>
      </c>
      <c r="J40" s="53">
        <v>0</v>
      </c>
      <c r="K40" s="53">
        <v>0</v>
      </c>
      <c r="L40" s="53">
        <f>G40+H40+I40-J40+K40</f>
        <v>24855432.801635999</v>
      </c>
      <c r="M40" s="53"/>
      <c r="N40" s="53">
        <f>L40-M40</f>
        <v>24855432.801635999</v>
      </c>
      <c r="O40" s="53">
        <v>0</v>
      </c>
      <c r="P40" s="53">
        <v>0</v>
      </c>
      <c r="Q40" s="53">
        <f>N40-O40-P40</f>
        <v>24855432.801635999</v>
      </c>
      <c r="T40" s="266"/>
      <c r="U40" s="266"/>
      <c r="V40" s="266"/>
    </row>
    <row r="41" spans="1:22" ht="12.75" customHeight="1">
      <c r="A41" s="47" t="s">
        <v>17</v>
      </c>
      <c r="B41" s="48">
        <f>B39</f>
        <v>1.8513999999999999</v>
      </c>
      <c r="C41" s="48">
        <f>C39</f>
        <v>0</v>
      </c>
      <c r="D41" s="43"/>
      <c r="E41" s="173"/>
      <c r="F41" s="66">
        <v>2076490287</v>
      </c>
      <c r="G41" s="53"/>
      <c r="H41" s="53">
        <f>F41*(B41-C41)/100</f>
        <v>38444141.173518002</v>
      </c>
      <c r="I41" s="53">
        <f>F41*C41/100</f>
        <v>0</v>
      </c>
      <c r="J41" s="53">
        <v>0</v>
      </c>
      <c r="K41" s="53">
        <v>0</v>
      </c>
      <c r="L41" s="53">
        <f>G41+H41+I41-J41+K41</f>
        <v>38444141.173518002</v>
      </c>
      <c r="M41" s="53">
        <v>0</v>
      </c>
      <c r="N41" s="53">
        <f>L41-M41</f>
        <v>38444141.173518002</v>
      </c>
      <c r="O41" s="53">
        <v>0</v>
      </c>
      <c r="P41" s="53">
        <v>0</v>
      </c>
      <c r="Q41" s="53">
        <f>N41-O41-P41</f>
        <v>38444141.173518002</v>
      </c>
      <c r="T41" s="266" t="s">
        <v>380</v>
      </c>
      <c r="U41" s="266"/>
      <c r="V41" s="266"/>
    </row>
    <row r="42" spans="1:22">
      <c r="A42" s="47" t="s">
        <v>18</v>
      </c>
      <c r="B42" s="48"/>
      <c r="C42" s="48"/>
      <c r="D42" s="43"/>
      <c r="E42" s="173"/>
      <c r="F42" s="4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T42" s="266" t="s">
        <v>381</v>
      </c>
      <c r="U42" s="266"/>
      <c r="V42" s="266"/>
    </row>
    <row r="43" spans="1:22">
      <c r="A43" s="67" t="s">
        <v>19</v>
      </c>
      <c r="B43" s="48">
        <f>B39</f>
        <v>1.8513999999999999</v>
      </c>
      <c r="C43" s="48">
        <f>C39</f>
        <v>0</v>
      </c>
      <c r="D43" s="43"/>
      <c r="E43" s="173"/>
      <c r="F43" s="43">
        <v>85580288.689999998</v>
      </c>
      <c r="G43" s="53">
        <v>335043.62</v>
      </c>
      <c r="H43" s="53">
        <v>1413634.28</v>
      </c>
      <c r="I43" s="53">
        <v>0</v>
      </c>
      <c r="J43" s="53">
        <v>164244.42000000001</v>
      </c>
      <c r="K43" s="53">
        <v>0</v>
      </c>
      <c r="L43" s="53">
        <f>G43+H43+I43-J43+K43</f>
        <v>1584433.48</v>
      </c>
      <c r="M43" s="53">
        <v>85292.49</v>
      </c>
      <c r="N43" s="53">
        <f>L43-M43</f>
        <v>1499140.99</v>
      </c>
      <c r="O43" s="53">
        <v>0</v>
      </c>
      <c r="P43" s="53">
        <v>0</v>
      </c>
      <c r="Q43" s="53">
        <f>N43-O43-P43</f>
        <v>1499140.99</v>
      </c>
      <c r="T43" s="266"/>
      <c r="U43" s="266"/>
      <c r="V43" s="266"/>
    </row>
    <row r="44" spans="1:22">
      <c r="A44" s="67" t="s">
        <v>20</v>
      </c>
      <c r="B44" s="48">
        <f>B39</f>
        <v>1.8513999999999999</v>
      </c>
      <c r="C44" s="48">
        <f>C39</f>
        <v>0</v>
      </c>
      <c r="D44" s="43"/>
      <c r="E44" s="173"/>
      <c r="F44" s="43">
        <v>18961659.190000001</v>
      </c>
      <c r="G44" s="53">
        <v>350389.02</v>
      </c>
      <c r="H44" s="53">
        <v>667.05</v>
      </c>
      <c r="I44" s="53">
        <v>0</v>
      </c>
      <c r="J44" s="53"/>
      <c r="K44" s="53"/>
      <c r="L44" s="53">
        <f>G44+H44+I44-J44+K44</f>
        <v>351056.07</v>
      </c>
      <c r="M44" s="53">
        <v>1.31</v>
      </c>
      <c r="N44" s="53">
        <f>L44-M44</f>
        <v>351054.76</v>
      </c>
      <c r="O44" s="53">
        <v>0</v>
      </c>
      <c r="P44" s="53">
        <v>0</v>
      </c>
      <c r="Q44" s="53">
        <f>N44-O44-P44</f>
        <v>351054.76</v>
      </c>
      <c r="T44" s="153">
        <f>SUM(Q40:Q41,Q43:Q44)</f>
        <v>65149769.725153998</v>
      </c>
      <c r="U44" s="266"/>
      <c r="V44" s="266"/>
    </row>
    <row r="45" spans="1:22">
      <c r="A45" s="47"/>
      <c r="B45" s="48"/>
      <c r="C45" s="48"/>
      <c r="D45" s="43"/>
      <c r="E45" s="173"/>
      <c r="F45" s="4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T45" s="266"/>
      <c r="U45" s="266"/>
      <c r="V45" s="266"/>
    </row>
    <row r="46" spans="1:22" s="50" customFormat="1" ht="13.5" thickBot="1">
      <c r="A46" s="60" t="str">
        <f>"TOTAL "&amp;A27</f>
        <v>TOTAL GENERAL COUNTY</v>
      </c>
      <c r="B46" s="68">
        <f>B39</f>
        <v>1.8513999999999999</v>
      </c>
      <c r="C46" s="68">
        <f>C39</f>
        <v>0</v>
      </c>
      <c r="D46" s="69">
        <f>SUM(D39:D41,D43:D44)</f>
        <v>4805</v>
      </c>
      <c r="E46" s="204"/>
      <c r="F46" s="69">
        <f t="shared" ref="F46:P46" si="17">SUM(F39,F40:F41,F43:F44)</f>
        <v>5636417104.2792645</v>
      </c>
      <c r="G46" s="99">
        <f t="shared" si="17"/>
        <v>25638684.671636</v>
      </c>
      <c r="H46" s="99">
        <f t="shared" si="17"/>
        <v>78914365.353517994</v>
      </c>
      <c r="I46" s="99">
        <f t="shared" si="17"/>
        <v>0</v>
      </c>
      <c r="J46" s="99">
        <f t="shared" si="17"/>
        <v>199796.25</v>
      </c>
      <c r="K46" s="99">
        <f t="shared" si="17"/>
        <v>36805.820000000007</v>
      </c>
      <c r="L46" s="99">
        <f>SUM(L39,L40:L41,L43:L44)</f>
        <v>104390059.595154</v>
      </c>
      <c r="M46" s="99">
        <f t="shared" si="17"/>
        <v>4279248.9399999995</v>
      </c>
      <c r="N46" s="99">
        <f t="shared" si="17"/>
        <v>100110810.655154</v>
      </c>
      <c r="O46" s="99">
        <f t="shared" si="17"/>
        <v>0</v>
      </c>
      <c r="P46" s="99">
        <f t="shared" si="17"/>
        <v>0</v>
      </c>
      <c r="Q46" s="99">
        <f>SUM(Q39,Q40:Q41,Q43:Q44)</f>
        <v>100110810.655154</v>
      </c>
    </row>
    <row r="47" spans="1:22" s="168" customFormat="1">
      <c r="A47" s="165" t="s">
        <v>28</v>
      </c>
      <c r="B47" s="166"/>
      <c r="C47" s="166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</row>
    <row r="48" spans="1:22" s="168" customFormat="1">
      <c r="A48" s="200" t="s">
        <v>29</v>
      </c>
      <c r="B48" s="166"/>
      <c r="C48" s="166"/>
      <c r="D48" s="167"/>
      <c r="E48" s="167"/>
      <c r="F48" s="167">
        <v>5283546</v>
      </c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</row>
    <row r="49" spans="1:19" s="168" customFormat="1">
      <c r="A49" s="200" t="s">
        <v>15</v>
      </c>
      <c r="B49" s="166"/>
      <c r="C49" s="166"/>
      <c r="D49" s="167"/>
      <c r="E49" s="167"/>
      <c r="F49" s="169">
        <v>2107580377</v>
      </c>
      <c r="G49" s="446"/>
      <c r="H49" s="167"/>
      <c r="I49" s="167"/>
      <c r="J49" s="167"/>
      <c r="K49" s="167"/>
      <c r="L49" s="167"/>
      <c r="M49" s="167"/>
      <c r="N49" s="167"/>
      <c r="O49" s="167"/>
      <c r="P49" s="167"/>
      <c r="Q49" s="167"/>
    </row>
    <row r="50" spans="1:19" s="168" customFormat="1">
      <c r="A50" s="200"/>
      <c r="B50" s="166"/>
      <c r="C50" s="166"/>
      <c r="D50" s="167"/>
      <c r="E50" s="167"/>
      <c r="F50" s="167">
        <f>F48+F49</f>
        <v>2112863923</v>
      </c>
      <c r="G50" s="167"/>
      <c r="H50" s="464">
        <f>H28-F50</f>
        <v>33897.56821846962</v>
      </c>
      <c r="I50" s="167"/>
      <c r="J50" s="167"/>
      <c r="K50" s="167"/>
      <c r="L50" s="167"/>
      <c r="M50" s="167"/>
      <c r="N50" s="167"/>
      <c r="O50" s="167"/>
      <c r="P50" s="167"/>
      <c r="Q50" s="167"/>
    </row>
    <row r="51" spans="1:19" s="168" customFormat="1">
      <c r="A51" s="200" t="s">
        <v>30</v>
      </c>
      <c r="B51" s="166"/>
      <c r="C51" s="166"/>
      <c r="D51" s="167"/>
      <c r="E51" s="167"/>
      <c r="F51" s="74">
        <f>F39-F50</f>
        <v>0</v>
      </c>
      <c r="G51" s="170">
        <f>F51/F50</f>
        <v>0</v>
      </c>
      <c r="H51" s="167"/>
      <c r="I51" s="167"/>
      <c r="J51" s="167"/>
      <c r="K51" s="167"/>
      <c r="L51" s="167"/>
      <c r="M51" s="167"/>
      <c r="N51" s="167"/>
      <c r="O51" s="167"/>
      <c r="P51" s="167"/>
      <c r="Q51" s="167"/>
    </row>
    <row r="52" spans="1:19" s="174" customFormat="1">
      <c r="A52" s="171"/>
      <c r="B52" s="172"/>
      <c r="C52" s="172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1:19" s="174" customFormat="1">
      <c r="A53" s="75" t="s">
        <v>355</v>
      </c>
      <c r="B53" s="172"/>
      <c r="C53" s="172"/>
      <c r="D53" s="175"/>
      <c r="E53" s="175"/>
      <c r="F53" s="64">
        <v>5636417086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1:19" s="174" customFormat="1">
      <c r="A54" s="76" t="s">
        <v>30</v>
      </c>
      <c r="B54" s="172"/>
      <c r="C54" s="172"/>
      <c r="D54" s="77"/>
      <c r="E54" s="77"/>
      <c r="F54" s="77">
        <f>F46-F53</f>
        <v>18.279264450073242</v>
      </c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1:19">
      <c r="A55" s="47"/>
      <c r="B55" s="48"/>
      <c r="C55" s="48"/>
      <c r="D55" s="43"/>
      <c r="E55" s="17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9">
      <c r="A56" s="54" t="s">
        <v>13</v>
      </c>
      <c r="B56" s="51"/>
      <c r="C56" s="51"/>
      <c r="D56" s="52"/>
      <c r="E56" s="203"/>
      <c r="F56" s="52"/>
      <c r="G56" s="64"/>
      <c r="H56" s="53"/>
      <c r="I56" s="53"/>
      <c r="J56" s="53"/>
      <c r="K56" s="53"/>
      <c r="L56" s="53"/>
      <c r="M56" s="53"/>
      <c r="N56" s="53"/>
      <c r="O56" s="53"/>
      <c r="P56" s="53"/>
      <c r="Q56" s="53"/>
    </row>
    <row r="57" spans="1:19">
      <c r="A57" s="47"/>
      <c r="B57" s="48"/>
      <c r="C57" s="48"/>
      <c r="D57" s="43"/>
      <c r="E57" s="65">
        <v>1347804474</v>
      </c>
      <c r="F57" s="4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</row>
    <row r="58" spans="1:19">
      <c r="A58" s="49" t="s">
        <v>15</v>
      </c>
      <c r="B58" s="48">
        <v>0.75</v>
      </c>
      <c r="C58" s="48">
        <v>0</v>
      </c>
      <c r="D58" s="43">
        <v>4805</v>
      </c>
      <c r="E58" s="173">
        <f>G58/B58*100</f>
        <v>5283581.333333333</v>
      </c>
      <c r="F58" s="43">
        <v>2112863923</v>
      </c>
      <c r="G58" s="53">
        <v>39626.86</v>
      </c>
      <c r="H58" s="53">
        <v>15821522.380000001</v>
      </c>
      <c r="I58" s="53">
        <f>F58*C58/100</f>
        <v>0</v>
      </c>
      <c r="J58" s="53">
        <v>14401.98</v>
      </c>
      <c r="K58" s="53">
        <v>14910.15</v>
      </c>
      <c r="L58" s="53">
        <f t="shared" ref="L58:L63" si="18">G58+H58+I58-J58+K58</f>
        <v>15861657.41</v>
      </c>
      <c r="M58" s="53">
        <v>1698966.12</v>
      </c>
      <c r="N58" s="53">
        <f>L58-M58</f>
        <v>14162691.289999999</v>
      </c>
      <c r="O58" s="53">
        <v>0</v>
      </c>
      <c r="P58" s="53">
        <v>0</v>
      </c>
      <c r="Q58" s="53">
        <f>N58-O58-P58</f>
        <v>14162691.289999999</v>
      </c>
      <c r="R58" s="326"/>
    </row>
    <row r="59" spans="1:19">
      <c r="A59" s="47" t="s">
        <v>16</v>
      </c>
      <c r="B59" s="48">
        <f>B58</f>
        <v>0.75</v>
      </c>
      <c r="C59" s="48">
        <f>C58</f>
        <v>0</v>
      </c>
      <c r="D59" s="43"/>
      <c r="E59" s="173"/>
      <c r="F59" s="65">
        <f>IF(E57&gt;E58,E57-E58,0)</f>
        <v>1342520892.6666667</v>
      </c>
      <c r="G59" s="53">
        <f>F59*(B59-C59)/100</f>
        <v>10068906.695</v>
      </c>
      <c r="H59" s="53"/>
      <c r="I59" s="53">
        <f>F59*C59/100</f>
        <v>0</v>
      </c>
      <c r="J59" s="53"/>
      <c r="K59" s="53"/>
      <c r="L59" s="53">
        <f t="shared" si="18"/>
        <v>10068906.695</v>
      </c>
      <c r="M59" s="53"/>
      <c r="N59" s="53">
        <f>L59-M59</f>
        <v>10068906.695</v>
      </c>
      <c r="O59" s="53"/>
      <c r="P59" s="53"/>
      <c r="Q59" s="53">
        <f>N59-O59-P59</f>
        <v>10068906.695</v>
      </c>
    </row>
    <row r="60" spans="1:19">
      <c r="A60" s="47" t="s">
        <v>17</v>
      </c>
      <c r="B60" s="48">
        <f>B58</f>
        <v>0.75</v>
      </c>
      <c r="C60" s="48">
        <f>C58</f>
        <v>0</v>
      </c>
      <c r="D60" s="43"/>
      <c r="E60" s="173"/>
      <c r="F60" s="66">
        <v>2076490287</v>
      </c>
      <c r="G60" s="53"/>
      <c r="H60" s="53">
        <f>F60*(B60-C60)/100</f>
        <v>15573677.1525</v>
      </c>
      <c r="I60" s="53">
        <f>F60*C60/100</f>
        <v>0</v>
      </c>
      <c r="J60" s="53">
        <v>0</v>
      </c>
      <c r="K60" s="53">
        <v>0</v>
      </c>
      <c r="L60" s="53">
        <f t="shared" si="18"/>
        <v>15573677.1525</v>
      </c>
      <c r="M60" s="53">
        <v>0</v>
      </c>
      <c r="N60" s="53">
        <f>L60-M60</f>
        <v>15573677.1525</v>
      </c>
      <c r="O60" s="53">
        <v>0</v>
      </c>
      <c r="P60" s="53">
        <v>0</v>
      </c>
      <c r="Q60" s="53">
        <f>N60-O60-P60</f>
        <v>15573677.1525</v>
      </c>
    </row>
    <row r="61" spans="1:19">
      <c r="A61" s="47" t="s">
        <v>18</v>
      </c>
      <c r="B61" s="48"/>
      <c r="C61" s="48"/>
      <c r="D61" s="43"/>
      <c r="E61" s="173"/>
      <c r="F61" s="4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1:19">
      <c r="A62" s="67" t="s">
        <v>19</v>
      </c>
      <c r="B62" s="48">
        <f>B58</f>
        <v>0.75</v>
      </c>
      <c r="C62" s="48">
        <f>C58</f>
        <v>0</v>
      </c>
      <c r="D62" s="43"/>
      <c r="E62" s="173"/>
      <c r="F62" s="43">
        <v>85580288.689999998</v>
      </c>
      <c r="G62" s="53">
        <f>161911.79*S65</f>
        <v>135725.76561976082</v>
      </c>
      <c r="H62" s="53">
        <f>683147.13*S65</f>
        <v>572661.61562534922</v>
      </c>
      <c r="I62" s="53">
        <v>0</v>
      </c>
      <c r="J62" s="53">
        <f>79372.07*S65</f>
        <v>66535.210126299324</v>
      </c>
      <c r="K62" s="53">
        <v>0</v>
      </c>
      <c r="L62" s="53">
        <f t="shared" si="18"/>
        <v>641852.17111881077</v>
      </c>
      <c r="M62" s="53">
        <f>41218.11*S65</f>
        <v>34551.897284005812</v>
      </c>
      <c r="N62" s="53">
        <f>L62-M62</f>
        <v>607300.273834805</v>
      </c>
      <c r="O62" s="53">
        <v>0</v>
      </c>
      <c r="P62" s="53">
        <v>0</v>
      </c>
      <c r="Q62" s="53">
        <f>N62-O62-P62</f>
        <v>607300.273834805</v>
      </c>
      <c r="S62" s="381">
        <f>Q63-G63</f>
        <v>269.64625013971818</v>
      </c>
    </row>
    <row r="63" spans="1:19">
      <c r="A63" s="67" t="s">
        <v>20</v>
      </c>
      <c r="B63" s="48">
        <f>B58</f>
        <v>0.75</v>
      </c>
      <c r="C63" s="48">
        <f>C58</f>
        <v>0</v>
      </c>
      <c r="D63" s="43"/>
      <c r="E63" s="173"/>
      <c r="F63" s="43">
        <v>18961659.190000001</v>
      </c>
      <c r="G63" s="53">
        <f>169327.55*S65</f>
        <v>141942.17335419692</v>
      </c>
      <c r="H63" s="53">
        <f>322.27*S65</f>
        <v>270.14921202637754</v>
      </c>
      <c r="I63" s="53">
        <v>0</v>
      </c>
      <c r="J63" s="53">
        <v>0</v>
      </c>
      <c r="K63" s="53">
        <v>0</v>
      </c>
      <c r="L63" s="53">
        <f t="shared" si="18"/>
        <v>142212.3225662233</v>
      </c>
      <c r="M63" s="53">
        <f>0.6*S65</f>
        <v>0.50296188666592145</v>
      </c>
      <c r="N63" s="53">
        <f>L63-M63</f>
        <v>142211.81960433663</v>
      </c>
      <c r="O63" s="53">
        <v>0</v>
      </c>
      <c r="P63" s="53">
        <v>0</v>
      </c>
      <c r="Q63" s="53">
        <f>N63-O63-P63</f>
        <v>142211.81960433663</v>
      </c>
      <c r="S63" s="381">
        <f>G63</f>
        <v>141942.17335419692</v>
      </c>
    </row>
    <row r="64" spans="1:19">
      <c r="A64" s="47"/>
      <c r="B64" s="48"/>
      <c r="C64" s="48"/>
      <c r="D64" s="43"/>
      <c r="E64" s="173"/>
      <c r="F64" s="4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</row>
    <row r="65" spans="1:19" s="50" customFormat="1">
      <c r="A65" s="57" t="s">
        <v>31</v>
      </c>
      <c r="B65" s="51">
        <f>B58</f>
        <v>0.75</v>
      </c>
      <c r="C65" s="51">
        <f>C58</f>
        <v>0</v>
      </c>
      <c r="D65" s="78">
        <f t="shared" ref="D65:Q65" si="19">SUM(D58:D60,D62:D63)</f>
        <v>4805</v>
      </c>
      <c r="E65" s="206"/>
      <c r="F65" s="78">
        <f t="shared" si="19"/>
        <v>5636417050.5466661</v>
      </c>
      <c r="G65" s="79">
        <f t="shared" si="19"/>
        <v>10386201.493973957</v>
      </c>
      <c r="H65" s="79">
        <f t="shared" si="19"/>
        <v>31968131.297337372</v>
      </c>
      <c r="I65" s="79">
        <f t="shared" si="19"/>
        <v>0</v>
      </c>
      <c r="J65" s="79">
        <f t="shared" si="19"/>
        <v>80937.19012629932</v>
      </c>
      <c r="K65" s="79">
        <f t="shared" si="19"/>
        <v>14910.15</v>
      </c>
      <c r="L65" s="79">
        <f t="shared" si="19"/>
        <v>42288305.751185037</v>
      </c>
      <c r="M65" s="79">
        <f t="shared" si="19"/>
        <v>1733518.5202458925</v>
      </c>
      <c r="N65" s="79">
        <f t="shared" si="19"/>
        <v>40554787.230939142</v>
      </c>
      <c r="O65" s="79">
        <f t="shared" si="19"/>
        <v>0</v>
      </c>
      <c r="P65" s="79">
        <f t="shared" si="19"/>
        <v>0</v>
      </c>
      <c r="Q65" s="79">
        <f t="shared" si="19"/>
        <v>40554787.230939142</v>
      </c>
      <c r="S65" s="183">
        <f>B65/B79</f>
        <v>0.8382698111098692</v>
      </c>
    </row>
    <row r="66" spans="1:19">
      <c r="A66" s="47"/>
      <c r="B66" s="48"/>
      <c r="C66" s="48"/>
      <c r="D66" s="43"/>
      <c r="E66" s="173"/>
      <c r="F66" s="43"/>
      <c r="G66" s="43"/>
      <c r="H66" s="43"/>
      <c r="I66" s="43"/>
      <c r="J66" s="43"/>
      <c r="K66" s="43"/>
      <c r="L66" s="505" t="s">
        <v>388</v>
      </c>
      <c r="M66" s="506">
        <f>M65/L65</f>
        <v>4.0992858177992017E-2</v>
      </c>
      <c r="N66" s="43"/>
      <c r="O66" s="43"/>
      <c r="P66" s="43"/>
      <c r="Q66" s="43"/>
    </row>
    <row r="67" spans="1:19">
      <c r="A67" s="47"/>
      <c r="B67" s="48"/>
      <c r="C67" s="48"/>
      <c r="D67" s="43"/>
      <c r="E67" s="173"/>
      <c r="F67" s="43"/>
      <c r="G67" s="81">
        <f>G62+G74</f>
        <v>161911.79</v>
      </c>
      <c r="H67" s="81">
        <f t="shared" ref="H67:Q68" si="20">H62+H74</f>
        <v>683147.12999999989</v>
      </c>
      <c r="I67" s="81">
        <f t="shared" si="20"/>
        <v>0</v>
      </c>
      <c r="J67" s="81">
        <f t="shared" si="20"/>
        <v>79372.070000000007</v>
      </c>
      <c r="K67" s="81">
        <f t="shared" si="20"/>
        <v>0</v>
      </c>
      <c r="L67" s="81">
        <f t="shared" si="20"/>
        <v>765686.85</v>
      </c>
      <c r="M67" s="81">
        <f t="shared" si="20"/>
        <v>41218.11</v>
      </c>
      <c r="N67" s="81">
        <f t="shared" si="20"/>
        <v>724468.74</v>
      </c>
      <c r="O67" s="81">
        <f t="shared" si="20"/>
        <v>0</v>
      </c>
      <c r="P67" s="81">
        <f t="shared" si="20"/>
        <v>0</v>
      </c>
      <c r="Q67" s="81">
        <f t="shared" si="20"/>
        <v>724468.74</v>
      </c>
    </row>
    <row r="68" spans="1:19">
      <c r="A68" s="54" t="s">
        <v>32</v>
      </c>
      <c r="B68" s="48"/>
      <c r="C68" s="48"/>
      <c r="D68" s="43"/>
      <c r="E68" s="173"/>
      <c r="F68" s="49"/>
      <c r="G68" s="81">
        <f>G63+G75</f>
        <v>169327.54999999996</v>
      </c>
      <c r="H68" s="81">
        <f t="shared" si="20"/>
        <v>322.27</v>
      </c>
      <c r="I68" s="81">
        <f t="shared" si="20"/>
        <v>0</v>
      </c>
      <c r="J68" s="81">
        <f t="shared" si="20"/>
        <v>0</v>
      </c>
      <c r="K68" s="81">
        <f t="shared" si="20"/>
        <v>0</v>
      </c>
      <c r="L68" s="81">
        <f t="shared" si="20"/>
        <v>169649.81999999998</v>
      </c>
      <c r="M68" s="81">
        <f t="shared" si="20"/>
        <v>0.59999999999999987</v>
      </c>
      <c r="N68" s="81">
        <f t="shared" si="20"/>
        <v>169649.21999999997</v>
      </c>
      <c r="O68" s="81">
        <f t="shared" si="20"/>
        <v>0</v>
      </c>
      <c r="P68" s="81">
        <f t="shared" si="20"/>
        <v>0</v>
      </c>
      <c r="Q68" s="81">
        <f t="shared" si="20"/>
        <v>169649.21999999997</v>
      </c>
    </row>
    <row r="69" spans="1:19">
      <c r="A69" s="47"/>
      <c r="B69" s="48"/>
      <c r="C69" s="48"/>
      <c r="D69" s="43"/>
      <c r="E69" s="65">
        <v>1347804474</v>
      </c>
      <c r="F69" s="43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9">
      <c r="A70" s="49" t="s">
        <v>15</v>
      </c>
      <c r="B70" s="48">
        <v>0.1447</v>
      </c>
      <c r="C70" s="48">
        <v>0</v>
      </c>
      <c r="D70" s="43">
        <v>4805</v>
      </c>
      <c r="E70" s="173">
        <f>G70/B70*100</f>
        <v>5283565.9986178298</v>
      </c>
      <c r="F70" s="43">
        <v>2112863923</v>
      </c>
      <c r="G70" s="53">
        <v>7645.32</v>
      </c>
      <c r="H70" s="53">
        <v>3052497.28</v>
      </c>
      <c r="I70" s="53"/>
      <c r="J70" s="53">
        <v>2778.58</v>
      </c>
      <c r="K70" s="53">
        <v>2876.82</v>
      </c>
      <c r="L70" s="53">
        <f>G70+H70+I70-J70+K70</f>
        <v>3060240.8399999994</v>
      </c>
      <c r="M70" s="53">
        <v>327788.13</v>
      </c>
      <c r="N70" s="53">
        <f>L70-M70</f>
        <v>2732452.7099999995</v>
      </c>
      <c r="O70" s="53">
        <v>0</v>
      </c>
      <c r="P70" s="53">
        <v>0</v>
      </c>
      <c r="Q70" s="53">
        <f>N70-O70-P70</f>
        <v>2732452.7099999995</v>
      </c>
      <c r="R70" s="326"/>
    </row>
    <row r="71" spans="1:19">
      <c r="A71" s="47" t="s">
        <v>16</v>
      </c>
      <c r="B71" s="48">
        <f>B70</f>
        <v>0.1447</v>
      </c>
      <c r="C71" s="48">
        <f>C70</f>
        <v>0</v>
      </c>
      <c r="D71" s="43"/>
      <c r="E71" s="173"/>
      <c r="F71" s="65">
        <f>IF(E69&gt;E70,E69-E70,0)</f>
        <v>1342520908.0013821</v>
      </c>
      <c r="G71" s="53">
        <f>F71*(B71-C71)/100</f>
        <v>1942627.7538779997</v>
      </c>
      <c r="H71" s="53"/>
      <c r="I71" s="53">
        <f>F71*C71/100</f>
        <v>0</v>
      </c>
      <c r="J71" s="53"/>
      <c r="K71" s="53"/>
      <c r="L71" s="53">
        <f>G71+H71+I71-J71+K71</f>
        <v>1942627.7538779997</v>
      </c>
      <c r="M71" s="53"/>
      <c r="N71" s="53">
        <f>L71-M71</f>
        <v>1942627.7538779997</v>
      </c>
      <c r="O71" s="53"/>
      <c r="P71" s="53"/>
      <c r="Q71" s="53">
        <f>N71-O71-P71</f>
        <v>1942627.7538779997</v>
      </c>
    </row>
    <row r="72" spans="1:19">
      <c r="A72" s="47" t="s">
        <v>17</v>
      </c>
      <c r="B72" s="48">
        <f>B70</f>
        <v>0.1447</v>
      </c>
      <c r="C72" s="48">
        <f>C70</f>
        <v>0</v>
      </c>
      <c r="D72" s="43"/>
      <c r="E72" s="173"/>
      <c r="F72" s="66">
        <v>2076490287</v>
      </c>
      <c r="G72" s="53"/>
      <c r="H72" s="53">
        <f>F72*(B72-C72)/100</f>
        <v>3004681.4452889995</v>
      </c>
      <c r="I72" s="53">
        <f>F72*C72/100</f>
        <v>0</v>
      </c>
      <c r="J72" s="53">
        <v>0</v>
      </c>
      <c r="K72" s="53">
        <v>0</v>
      </c>
      <c r="L72" s="53">
        <f>G72+H72+I72-J72+K72</f>
        <v>3004681.4452889995</v>
      </c>
      <c r="M72" s="53">
        <v>0</v>
      </c>
      <c r="N72" s="53">
        <f>L72-M72</f>
        <v>3004681.4452889995</v>
      </c>
      <c r="O72" s="53">
        <v>0</v>
      </c>
      <c r="P72" s="53">
        <v>0</v>
      </c>
      <c r="Q72" s="53">
        <f>N72-O72-P72</f>
        <v>3004681.4452889995</v>
      </c>
    </row>
    <row r="73" spans="1:19">
      <c r="A73" s="47" t="s">
        <v>18</v>
      </c>
      <c r="B73" s="48"/>
      <c r="C73" s="48"/>
      <c r="D73" s="43"/>
      <c r="E73" s="173"/>
      <c r="F73" s="4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19">
      <c r="A74" s="67" t="s">
        <v>19</v>
      </c>
      <c r="B74" s="48">
        <f>B70</f>
        <v>0.1447</v>
      </c>
      <c r="C74" s="48">
        <f>C70</f>
        <v>0</v>
      </c>
      <c r="D74" s="43"/>
      <c r="E74" s="173"/>
      <c r="F74" s="43">
        <v>85580288.689999998</v>
      </c>
      <c r="G74" s="53">
        <f>161911.79*S77</f>
        <v>26186.024380239185</v>
      </c>
      <c r="H74" s="53">
        <f>683147.13*S77</f>
        <v>110485.51437465071</v>
      </c>
      <c r="I74" s="53">
        <v>0</v>
      </c>
      <c r="J74" s="53">
        <f>79372.07*S77</f>
        <v>12836.859873700681</v>
      </c>
      <c r="K74" s="53">
        <v>0</v>
      </c>
      <c r="L74" s="53">
        <f t="shared" ref="L74" si="21">G74+H74+I74-J74+K74</f>
        <v>123834.6788811892</v>
      </c>
      <c r="M74" s="53">
        <f>41218.11*S77</f>
        <v>6666.2127159941874</v>
      </c>
      <c r="N74" s="53">
        <f>L74-M74</f>
        <v>117168.46616519502</v>
      </c>
      <c r="O74" s="53">
        <v>0</v>
      </c>
      <c r="P74" s="53">
        <v>0</v>
      </c>
      <c r="Q74" s="53">
        <f>N74-O74-P74</f>
        <v>117168.46616519502</v>
      </c>
      <c r="S74" s="381">
        <f>+Q74+Q62</f>
        <v>724468.74</v>
      </c>
    </row>
    <row r="75" spans="1:19">
      <c r="A75" s="67" t="s">
        <v>20</v>
      </c>
      <c r="B75" s="48">
        <f>B70</f>
        <v>0.1447</v>
      </c>
      <c r="C75" s="48">
        <f>C70</f>
        <v>0</v>
      </c>
      <c r="D75" s="43"/>
      <c r="E75" s="173"/>
      <c r="F75" s="43">
        <v>18961659.190000001</v>
      </c>
      <c r="G75" s="53">
        <f>169327.55*S77</f>
        <v>27385.376645803055</v>
      </c>
      <c r="H75" s="53">
        <f>322.27*S77</f>
        <v>52.120787973622434</v>
      </c>
      <c r="I75" s="53">
        <v>0</v>
      </c>
      <c r="J75" s="53"/>
      <c r="K75" s="53"/>
      <c r="L75" s="53">
        <f t="shared" ref="L75" si="22">G75+H75+I75-J75+K75</f>
        <v>27437.497433776676</v>
      </c>
      <c r="M75" s="53">
        <f>0.6*S77</f>
        <v>9.7038113334078441E-2</v>
      </c>
      <c r="N75" s="53">
        <f>L75-M75</f>
        <v>27437.400395663342</v>
      </c>
      <c r="O75" s="53">
        <v>0</v>
      </c>
      <c r="P75" s="53">
        <v>0</v>
      </c>
      <c r="Q75" s="53">
        <f>N75-O75-P75</f>
        <v>27437.400395663342</v>
      </c>
      <c r="S75" s="53"/>
    </row>
    <row r="76" spans="1:19">
      <c r="A76" s="47"/>
      <c r="B76" s="48"/>
      <c r="C76" s="48"/>
      <c r="D76" s="43"/>
      <c r="E76" s="173"/>
      <c r="F76" s="4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1:19" s="50" customFormat="1">
      <c r="A77" s="57" t="str">
        <f>"TOTAL "&amp;A68</f>
        <v>TOTAL SCHOOL DEBT</v>
      </c>
      <c r="B77" s="51">
        <f>B70</f>
        <v>0.1447</v>
      </c>
      <c r="C77" s="51">
        <f>C70</f>
        <v>0</v>
      </c>
      <c r="D77" s="78">
        <f t="shared" ref="D77:Q77" si="23">SUM(D70:D72,D74:D75)</f>
        <v>4805</v>
      </c>
      <c r="E77" s="206"/>
      <c r="F77" s="78">
        <f t="shared" si="23"/>
        <v>5636417065.881381</v>
      </c>
      <c r="G77" s="79">
        <f t="shared" si="23"/>
        <v>2003844.474904042</v>
      </c>
      <c r="H77" s="79">
        <f t="shared" si="23"/>
        <v>6167716.3604516238</v>
      </c>
      <c r="I77" s="79">
        <f t="shared" si="23"/>
        <v>0</v>
      </c>
      <c r="J77" s="79">
        <f t="shared" si="23"/>
        <v>15615.439873700681</v>
      </c>
      <c r="K77" s="79">
        <f t="shared" si="23"/>
        <v>2876.82</v>
      </c>
      <c r="L77" s="79">
        <f t="shared" si="23"/>
        <v>8158822.2154819639</v>
      </c>
      <c r="M77" s="79">
        <f t="shared" si="23"/>
        <v>334454.4397541075</v>
      </c>
      <c r="N77" s="79">
        <f t="shared" si="23"/>
        <v>7824367.7757278578</v>
      </c>
      <c r="O77" s="79">
        <f t="shared" si="23"/>
        <v>0</v>
      </c>
      <c r="P77" s="79">
        <f t="shared" si="23"/>
        <v>0</v>
      </c>
      <c r="Q77" s="79">
        <f t="shared" si="23"/>
        <v>7824367.7757278578</v>
      </c>
      <c r="S77" s="183">
        <f>B77/B79</f>
        <v>0.16173018889013074</v>
      </c>
    </row>
    <row r="78" spans="1:19">
      <c r="A78" s="47"/>
      <c r="B78" s="48"/>
      <c r="C78" s="48"/>
      <c r="D78" s="43"/>
      <c r="E78" s="173"/>
      <c r="F78" s="4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19" s="50" customFormat="1" ht="13.5" thickBot="1">
      <c r="A79" s="60" t="str">
        <f>"TOTAL "&amp;A56</f>
        <v>TOTAL SCHOOL DISTRICT</v>
      </c>
      <c r="B79" s="68">
        <f>B65+B77</f>
        <v>0.89470000000000005</v>
      </c>
      <c r="C79" s="68">
        <f>C65+C77</f>
        <v>0</v>
      </c>
      <c r="D79" s="69">
        <f>D65</f>
        <v>4805</v>
      </c>
      <c r="E79" s="204"/>
      <c r="F79" s="69">
        <f>F65</f>
        <v>5636417050.5466661</v>
      </c>
      <c r="G79" s="70">
        <f t="shared" ref="G79:Q79" si="24">G65+G77</f>
        <v>12390045.968877999</v>
      </c>
      <c r="H79" s="70">
        <f t="shared" si="24"/>
        <v>38135847.657788992</v>
      </c>
      <c r="I79" s="70">
        <f t="shared" si="24"/>
        <v>0</v>
      </c>
      <c r="J79" s="70">
        <f t="shared" si="24"/>
        <v>96552.63</v>
      </c>
      <c r="K79" s="70">
        <f t="shared" si="24"/>
        <v>17786.97</v>
      </c>
      <c r="L79" s="70">
        <f t="shared" si="24"/>
        <v>50447127.966667004</v>
      </c>
      <c r="M79" s="70">
        <f t="shared" si="24"/>
        <v>2067972.96</v>
      </c>
      <c r="N79" s="70">
        <f t="shared" si="24"/>
        <v>48379155.006667003</v>
      </c>
      <c r="O79" s="70">
        <f t="shared" si="24"/>
        <v>0</v>
      </c>
      <c r="P79" s="70">
        <f t="shared" si="24"/>
        <v>0</v>
      </c>
      <c r="Q79" s="70">
        <f t="shared" si="24"/>
        <v>48379155.006667003</v>
      </c>
    </row>
    <row r="80" spans="1:19">
      <c r="A80" s="150" t="s">
        <v>355</v>
      </c>
      <c r="B80" s="48"/>
      <c r="C80" s="48"/>
      <c r="D80" s="43"/>
      <c r="E80" s="173"/>
      <c r="F80" s="64">
        <v>5636417086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24">
      <c r="A81" s="151" t="s">
        <v>30</v>
      </c>
      <c r="B81" s="51"/>
      <c r="C81" s="51"/>
      <c r="D81" s="52"/>
      <c r="E81" s="203"/>
      <c r="F81" s="152">
        <f>F79-F80</f>
        <v>-35.453333854675293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1:24">
      <c r="A82" s="15" t="s">
        <v>551</v>
      </c>
      <c r="B82" s="51"/>
      <c r="C82" s="51"/>
      <c r="D82" s="52"/>
      <c r="E82" s="203"/>
      <c r="F82" s="52"/>
      <c r="G82" s="64">
        <f>G84/B84*100</f>
        <v>5283556.7388909291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W82" s="174"/>
      <c r="X82" s="284">
        <f>Q91+Q113+Q132+Q144</f>
        <v>29448184.538406003</v>
      </c>
    </row>
    <row r="83" spans="1:24">
      <c r="A83" s="47"/>
      <c r="B83" s="48"/>
      <c r="C83" s="48"/>
      <c r="D83" s="43"/>
      <c r="E83" s="65">
        <v>1347804474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24">
      <c r="A84" s="49" t="s">
        <v>15</v>
      </c>
      <c r="B84" s="48">
        <v>0.54459999999999997</v>
      </c>
      <c r="C84" s="48">
        <v>0</v>
      </c>
      <c r="D84" s="43">
        <v>4805</v>
      </c>
      <c r="E84" s="173">
        <f>G84/B84*100</f>
        <v>5283556.7388909291</v>
      </c>
      <c r="F84" s="43">
        <v>2112863923</v>
      </c>
      <c r="G84" s="53">
        <v>28774.25</v>
      </c>
      <c r="H84" s="53">
        <v>11488535.33</v>
      </c>
      <c r="I84" s="53">
        <v>0</v>
      </c>
      <c r="J84" s="53">
        <v>10457.469999999999</v>
      </c>
      <c r="K84" s="53">
        <v>10826.75</v>
      </c>
      <c r="L84" s="53">
        <f>G84+H84+I84-J84+K84</f>
        <v>11517678.859999999</v>
      </c>
      <c r="M84" s="53">
        <v>1233675.03</v>
      </c>
      <c r="N84" s="53">
        <f>L84-M84</f>
        <v>10284003.83</v>
      </c>
      <c r="O84" s="53">
        <v>0</v>
      </c>
      <c r="P84" s="53">
        <v>0</v>
      </c>
      <c r="Q84" s="53">
        <f>N84-O84-P84</f>
        <v>10284003.83</v>
      </c>
      <c r="R84" s="326"/>
    </row>
    <row r="85" spans="1:24">
      <c r="A85" s="47" t="s">
        <v>16</v>
      </c>
      <c r="B85" s="48">
        <f>B$84</f>
        <v>0.54459999999999997</v>
      </c>
      <c r="C85" s="48"/>
      <c r="D85" s="43"/>
      <c r="E85" s="173"/>
      <c r="F85" s="65">
        <f>IF(E83&gt;E84,E83-E84,0)</f>
        <v>1342520917.2611091</v>
      </c>
      <c r="G85" s="53">
        <f>F85*(B85-C85)/100</f>
        <v>7311368.9154040003</v>
      </c>
      <c r="H85" s="53"/>
      <c r="I85" s="53">
        <f>F85*C85/100</f>
        <v>0</v>
      </c>
      <c r="J85" s="53"/>
      <c r="K85" s="53"/>
      <c r="L85" s="53">
        <f>G85+H85+I85-J85+K85</f>
        <v>7311368.9154040003</v>
      </c>
      <c r="M85" s="53"/>
      <c r="N85" s="53">
        <f>L85-M85</f>
        <v>7311368.9154040003</v>
      </c>
      <c r="O85" s="53"/>
      <c r="P85" s="53"/>
      <c r="Q85" s="53">
        <f>N85-O85-P85</f>
        <v>7311368.9154040003</v>
      </c>
    </row>
    <row r="86" spans="1:24">
      <c r="A86" s="47" t="s">
        <v>17</v>
      </c>
      <c r="B86" s="48">
        <f>B$84</f>
        <v>0.54459999999999997</v>
      </c>
      <c r="C86" s="48"/>
      <c r="D86" s="43"/>
      <c r="E86" s="173"/>
      <c r="F86" s="66">
        <v>2076490287</v>
      </c>
      <c r="G86" s="53"/>
      <c r="H86" s="53">
        <f>F86*(B86-C86)/100</f>
        <v>11308566.103002001</v>
      </c>
      <c r="I86" s="53">
        <f>F86*C86/100</f>
        <v>0</v>
      </c>
      <c r="J86" s="53">
        <v>0</v>
      </c>
      <c r="K86" s="53">
        <v>0</v>
      </c>
      <c r="L86" s="53">
        <f>G86+H86+I86-J86+K86</f>
        <v>11308566.103002001</v>
      </c>
      <c r="M86" s="53">
        <v>0</v>
      </c>
      <c r="N86" s="53">
        <f>L86-M86</f>
        <v>11308566.103002001</v>
      </c>
      <c r="O86" s="53">
        <v>0</v>
      </c>
      <c r="P86" s="53">
        <v>0</v>
      </c>
      <c r="Q86" s="53">
        <f>N86-O86-P86</f>
        <v>11308566.103002001</v>
      </c>
    </row>
    <row r="87" spans="1:24">
      <c r="A87" s="47" t="s">
        <v>18</v>
      </c>
      <c r="B87" s="48"/>
      <c r="C87" s="48"/>
      <c r="D87" s="43"/>
      <c r="E87" s="173"/>
      <c r="F87" s="4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</row>
    <row r="88" spans="1:24">
      <c r="A88" s="67" t="s">
        <v>19</v>
      </c>
      <c r="B88" s="48">
        <f>B$84</f>
        <v>0.54459999999999997</v>
      </c>
      <c r="C88" s="48"/>
      <c r="D88" s="43"/>
      <c r="E88" s="173"/>
      <c r="F88" s="43">
        <v>94403338.450000003</v>
      </c>
      <c r="G88" s="53">
        <v>98555.01</v>
      </c>
      <c r="H88" s="53">
        <v>415828.72</v>
      </c>
      <c r="I88" s="53">
        <v>0</v>
      </c>
      <c r="J88" s="53">
        <v>48313.440000000002</v>
      </c>
      <c r="K88" s="53">
        <v>0</v>
      </c>
      <c r="L88" s="53">
        <f>G88+H88+I88-J88+K88</f>
        <v>466070.29</v>
      </c>
      <c r="M88" s="53">
        <v>25089.279999999999</v>
      </c>
      <c r="N88" s="53">
        <f>L88-M88</f>
        <v>440981.01</v>
      </c>
      <c r="O88" s="53">
        <v>0</v>
      </c>
      <c r="P88" s="53">
        <v>0</v>
      </c>
      <c r="Q88" s="53">
        <f>N88-O88-P88</f>
        <v>440981.01</v>
      </c>
    </row>
    <row r="89" spans="1:24">
      <c r="A89" s="67" t="s">
        <v>20</v>
      </c>
      <c r="B89" s="48">
        <f>B$84</f>
        <v>0.54459999999999997</v>
      </c>
      <c r="C89" s="48"/>
      <c r="D89" s="43"/>
      <c r="E89" s="173"/>
      <c r="F89" s="43">
        <v>18961659.190000001</v>
      </c>
      <c r="G89" s="53">
        <v>103068.9</v>
      </c>
      <c r="H89" s="53">
        <v>196.17</v>
      </c>
      <c r="I89" s="53">
        <v>0</v>
      </c>
      <c r="J89" s="53">
        <v>0</v>
      </c>
      <c r="K89" s="53">
        <v>0</v>
      </c>
      <c r="L89" s="53">
        <f>G89+H89+I89-J89+K89</f>
        <v>103265.06999999999</v>
      </c>
      <c r="M89" s="53">
        <v>0.39</v>
      </c>
      <c r="N89" s="53">
        <f>L89-M89</f>
        <v>103264.68</v>
      </c>
      <c r="O89" s="53">
        <v>0</v>
      </c>
      <c r="P89" s="53">
        <v>0</v>
      </c>
      <c r="Q89" s="53">
        <f>N89-O89-P89</f>
        <v>103264.68</v>
      </c>
    </row>
    <row r="90" spans="1:24">
      <c r="A90" s="47"/>
      <c r="B90" s="48"/>
      <c r="C90" s="48"/>
      <c r="D90" s="43"/>
      <c r="E90" s="173"/>
      <c r="F90" s="4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1:24" s="50" customFormat="1" ht="13.5" thickBot="1">
      <c r="A91" s="60" t="str">
        <f>"TOTAL "&amp;A82</f>
        <v>TOTAL STOREY CO. FIRE PROTECTION DISTRICT</v>
      </c>
      <c r="B91" s="68">
        <f>B84</f>
        <v>0.54459999999999997</v>
      </c>
      <c r="C91" s="68">
        <f>C84</f>
        <v>0</v>
      </c>
      <c r="D91" s="69">
        <f>SUM(D84:D86,D88:D89)</f>
        <v>4805</v>
      </c>
      <c r="E91" s="204"/>
      <c r="F91" s="69">
        <f t="shared" ref="F91:Q91" si="25">SUM(F84:F86,F88:F89)</f>
        <v>5645240124.9011087</v>
      </c>
      <c r="G91" s="70">
        <f t="shared" si="25"/>
        <v>7541767.0754040005</v>
      </c>
      <c r="H91" s="70">
        <f t="shared" si="25"/>
        <v>23213126.323002003</v>
      </c>
      <c r="I91" s="70">
        <f t="shared" si="25"/>
        <v>0</v>
      </c>
      <c r="J91" s="70">
        <f t="shared" si="25"/>
        <v>58770.91</v>
      </c>
      <c r="K91" s="70">
        <f t="shared" si="25"/>
        <v>10826.75</v>
      </c>
      <c r="L91" s="70">
        <f t="shared" si="25"/>
        <v>30706949.238405999</v>
      </c>
      <c r="M91" s="70">
        <f t="shared" si="25"/>
        <v>1258764.7</v>
      </c>
      <c r="N91" s="70">
        <f t="shared" si="25"/>
        <v>29448184.538406003</v>
      </c>
      <c r="O91" s="70">
        <f t="shared" si="25"/>
        <v>0</v>
      </c>
      <c r="P91" s="70">
        <f t="shared" si="25"/>
        <v>0</v>
      </c>
      <c r="Q91" s="70">
        <f t="shared" si="25"/>
        <v>29448184.538406003</v>
      </c>
    </row>
    <row r="92" spans="1:24">
      <c r="A92" s="150" t="s">
        <v>355</v>
      </c>
      <c r="B92" s="48"/>
      <c r="C92" s="48"/>
      <c r="D92" s="43"/>
      <c r="E92" s="173"/>
      <c r="F92" s="64">
        <v>5636417086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1:24">
      <c r="A93" s="151" t="s">
        <v>30</v>
      </c>
      <c r="B93" s="51"/>
      <c r="C93" s="51"/>
      <c r="D93" s="52"/>
      <c r="E93" s="203"/>
      <c r="F93" s="152">
        <f>F91-F92</f>
        <v>8823038.9011087418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T93" s="266" t="s">
        <v>378</v>
      </c>
      <c r="U93" s="266" t="s">
        <v>384</v>
      </c>
      <c r="V93" s="266" t="s">
        <v>227</v>
      </c>
    </row>
    <row r="95" spans="1:24">
      <c r="A95" s="104" t="s">
        <v>104</v>
      </c>
    </row>
    <row r="96" spans="1:24">
      <c r="A96" s="50"/>
      <c r="B96" s="50"/>
      <c r="C96" s="50"/>
      <c r="D96" s="50"/>
      <c r="E96" s="211"/>
      <c r="F96" s="50"/>
      <c r="G96" s="50"/>
    </row>
    <row r="97" spans="1:7">
      <c r="A97" s="50"/>
      <c r="B97" s="328"/>
    </row>
    <row r="98" spans="1:7">
      <c r="A98" s="50"/>
      <c r="B98" s="50"/>
      <c r="C98" s="50"/>
      <c r="D98" s="50"/>
      <c r="E98" s="211"/>
      <c r="F98" s="50"/>
      <c r="G98" s="50"/>
    </row>
    <row r="104" spans="1:7">
      <c r="A104" s="50"/>
      <c r="B104" s="84"/>
      <c r="C104" s="84"/>
      <c r="D104" s="84"/>
      <c r="E104" s="210"/>
      <c r="F104" s="84"/>
      <c r="G104" s="84"/>
    </row>
    <row r="106" spans="1:7">
      <c r="A106" s="50"/>
      <c r="B106" s="50"/>
      <c r="C106" s="50"/>
      <c r="D106" s="50"/>
      <c r="E106" s="211"/>
      <c r="F106" s="50"/>
      <c r="G106" s="50"/>
    </row>
    <row r="111" spans="1:7">
      <c r="A111" s="83"/>
      <c r="B111" s="84"/>
      <c r="C111" s="84"/>
      <c r="D111" s="84"/>
      <c r="E111" s="210"/>
      <c r="F111" s="84"/>
      <c r="G111" s="84"/>
    </row>
    <row r="113" spans="1:7">
      <c r="A113" s="50"/>
      <c r="B113" s="50"/>
      <c r="C113" s="50"/>
      <c r="D113" s="50"/>
      <c r="E113" s="211"/>
      <c r="F113" s="50"/>
      <c r="G113" s="50"/>
    </row>
    <row r="118" spans="1:7">
      <c r="A118" s="83"/>
      <c r="B118" s="84"/>
      <c r="C118" s="84"/>
      <c r="D118" s="84"/>
      <c r="E118" s="210"/>
      <c r="F118" s="84"/>
      <c r="G118" s="84"/>
    </row>
    <row r="120" spans="1:7">
      <c r="A120" s="50"/>
      <c r="B120" s="50"/>
      <c r="C120" s="50"/>
      <c r="D120" s="50"/>
      <c r="E120" s="211"/>
      <c r="F120" s="50"/>
      <c r="G120" s="50"/>
    </row>
    <row r="125" spans="1:7">
      <c r="A125" s="83"/>
      <c r="B125" s="84"/>
      <c r="C125" s="84"/>
      <c r="D125" s="84"/>
      <c r="E125" s="210"/>
      <c r="F125" s="84"/>
      <c r="G125" s="84"/>
    </row>
    <row r="127" spans="1:7">
      <c r="A127" s="50"/>
      <c r="B127" s="50"/>
      <c r="C127" s="50"/>
      <c r="D127" s="50"/>
      <c r="E127" s="211"/>
      <c r="F127" s="50"/>
      <c r="G127" s="50"/>
    </row>
    <row r="133" spans="1:7">
      <c r="A133" s="83"/>
      <c r="B133" s="85"/>
      <c r="C133" s="85"/>
      <c r="D133" s="85"/>
      <c r="E133" s="212"/>
      <c r="F133" s="85"/>
      <c r="G133" s="85"/>
    </row>
    <row r="136" spans="1:7">
      <c r="A136" s="50"/>
      <c r="B136" s="50"/>
      <c r="C136" s="50"/>
      <c r="D136" s="50"/>
      <c r="E136" s="211"/>
      <c r="F136" s="50"/>
      <c r="G136" s="50"/>
    </row>
    <row r="137" spans="1:7">
      <c r="A137" s="50"/>
    </row>
    <row r="138" spans="1:7">
      <c r="A138" s="50"/>
      <c r="B138" s="50"/>
      <c r="C138" s="50"/>
      <c r="D138" s="50"/>
      <c r="E138" s="211"/>
      <c r="F138" s="50"/>
      <c r="G138" s="50"/>
    </row>
    <row r="144" spans="1:7">
      <c r="A144" s="50"/>
      <c r="B144" s="84"/>
      <c r="C144" s="84"/>
      <c r="D144" s="84"/>
      <c r="E144" s="210"/>
      <c r="F144" s="84"/>
      <c r="G144" s="84"/>
    </row>
    <row r="146" spans="1:7">
      <c r="A146" s="50"/>
      <c r="B146" s="50"/>
      <c r="C146" s="50"/>
      <c r="D146" s="50"/>
      <c r="E146" s="211"/>
      <c r="F146" s="50"/>
      <c r="G146" s="50"/>
    </row>
    <row r="151" spans="1:7">
      <c r="A151" s="83"/>
      <c r="B151" s="84"/>
      <c r="C151" s="84"/>
      <c r="D151" s="84"/>
      <c r="E151" s="210"/>
      <c r="F151" s="84"/>
      <c r="G151" s="84"/>
    </row>
    <row r="153" spans="1:7">
      <c r="A153" s="50"/>
      <c r="B153" s="50"/>
      <c r="C153" s="50"/>
      <c r="D153" s="50"/>
      <c r="E153" s="211"/>
      <c r="F153" s="50"/>
      <c r="G153" s="50"/>
    </row>
    <row r="158" spans="1:7">
      <c r="A158" s="83"/>
      <c r="B158" s="84"/>
      <c r="C158" s="84"/>
      <c r="D158" s="84"/>
      <c r="E158" s="210"/>
      <c r="F158" s="84"/>
      <c r="G158" s="84"/>
    </row>
    <row r="160" spans="1:7">
      <c r="A160" s="50"/>
      <c r="B160" s="50"/>
      <c r="C160" s="50"/>
      <c r="D160" s="50"/>
      <c r="E160" s="211"/>
      <c r="F160" s="50"/>
      <c r="G160" s="50"/>
    </row>
    <row r="165" spans="1:7">
      <c r="A165" s="83"/>
      <c r="B165" s="84"/>
      <c r="C165" s="84"/>
      <c r="D165" s="84"/>
      <c r="E165" s="210"/>
      <c r="F165" s="84"/>
      <c r="G165" s="84"/>
    </row>
    <row r="167" spans="1:7">
      <c r="A167" s="50"/>
      <c r="B167" s="50"/>
      <c r="C167" s="50"/>
      <c r="D167" s="50"/>
      <c r="E167" s="211"/>
      <c r="F167" s="50"/>
      <c r="G167" s="50"/>
    </row>
    <row r="173" spans="1:7">
      <c r="A173" s="83"/>
      <c r="B173" s="85"/>
      <c r="C173" s="85"/>
      <c r="D173" s="85"/>
      <c r="E173" s="212"/>
      <c r="F173" s="85"/>
      <c r="G173" s="85"/>
    </row>
    <row r="176" spans="1:7">
      <c r="A176" s="50"/>
      <c r="B176" s="50"/>
      <c r="C176" s="50"/>
      <c r="D176" s="50"/>
      <c r="E176" s="211"/>
      <c r="F176" s="50"/>
      <c r="G176" s="50"/>
    </row>
    <row r="177" spans="1:7">
      <c r="A177" s="50"/>
    </row>
    <row r="178" spans="1:7">
      <c r="A178" s="50"/>
      <c r="B178" s="50"/>
      <c r="C178" s="50"/>
      <c r="D178" s="50"/>
      <c r="E178" s="211"/>
      <c r="F178" s="50"/>
      <c r="G178" s="50"/>
    </row>
    <row r="184" spans="1:7">
      <c r="A184" s="50"/>
      <c r="B184" s="84"/>
      <c r="C184" s="84"/>
      <c r="D184" s="84"/>
      <c r="E184" s="210"/>
      <c r="F184" s="84"/>
      <c r="G184" s="84"/>
    </row>
    <row r="186" spans="1:7">
      <c r="A186" s="50"/>
      <c r="B186" s="50"/>
      <c r="C186" s="50"/>
      <c r="D186" s="50"/>
      <c r="E186" s="211"/>
      <c r="F186" s="50"/>
      <c r="G186" s="50"/>
    </row>
    <row r="191" spans="1:7">
      <c r="A191" s="83"/>
      <c r="B191" s="84"/>
      <c r="C191" s="84"/>
      <c r="D191" s="84"/>
      <c r="E191" s="210"/>
      <c r="F191" s="84"/>
      <c r="G191" s="84"/>
    </row>
    <row r="193" spans="1:7">
      <c r="A193" s="50"/>
      <c r="B193" s="50"/>
      <c r="C193" s="50"/>
      <c r="D193" s="50"/>
      <c r="E193" s="211"/>
      <c r="F193" s="50"/>
      <c r="G193" s="50"/>
    </row>
    <row r="198" spans="1:7">
      <c r="A198" s="83"/>
      <c r="B198" s="84"/>
      <c r="C198" s="84"/>
      <c r="D198" s="84"/>
      <c r="E198" s="210"/>
      <c r="F198" s="84"/>
      <c r="G198" s="84"/>
    </row>
    <row r="200" spans="1:7">
      <c r="A200" s="50"/>
      <c r="B200" s="50"/>
      <c r="C200" s="50"/>
      <c r="D200" s="50"/>
      <c r="E200" s="211"/>
      <c r="F200" s="50"/>
      <c r="G200" s="50"/>
    </row>
    <row r="205" spans="1:7">
      <c r="A205" s="83"/>
      <c r="B205" s="84"/>
      <c r="C205" s="84"/>
      <c r="D205" s="84"/>
      <c r="E205" s="210"/>
      <c r="F205" s="84"/>
      <c r="G205" s="84"/>
    </row>
    <row r="207" spans="1:7">
      <c r="A207" s="50"/>
      <c r="B207" s="50"/>
      <c r="C207" s="50"/>
      <c r="D207" s="50"/>
      <c r="E207" s="211"/>
      <c r="F207" s="50"/>
      <c r="G207" s="50"/>
    </row>
    <row r="213" spans="1:7">
      <c r="A213" s="83"/>
      <c r="B213" s="85"/>
      <c r="C213" s="85"/>
      <c r="D213" s="85"/>
      <c r="E213" s="212"/>
      <c r="F213" s="85"/>
      <c r="G213" s="85"/>
    </row>
    <row r="216" spans="1:7">
      <c r="A216" s="50"/>
      <c r="B216" s="50"/>
      <c r="C216" s="50"/>
      <c r="D216" s="50"/>
      <c r="E216" s="211"/>
      <c r="F216" s="50"/>
      <c r="G216" s="50"/>
    </row>
    <row r="217" spans="1:7">
      <c r="A217" s="50"/>
    </row>
    <row r="218" spans="1:7">
      <c r="A218" s="50"/>
      <c r="B218" s="50"/>
      <c r="C218" s="50"/>
      <c r="D218" s="50"/>
      <c r="E218" s="211"/>
      <c r="F218" s="50"/>
      <c r="G218" s="50"/>
    </row>
    <row r="224" spans="1:7">
      <c r="A224" s="50"/>
      <c r="B224" s="84"/>
      <c r="C224" s="84"/>
      <c r="D224" s="84"/>
      <c r="E224" s="210"/>
      <c r="F224" s="84"/>
      <c r="G224" s="84"/>
    </row>
    <row r="226" spans="1:7">
      <c r="A226" s="50"/>
      <c r="B226" s="50"/>
      <c r="C226" s="50"/>
      <c r="D226" s="50"/>
      <c r="E226" s="211"/>
      <c r="F226" s="50"/>
      <c r="G226" s="50"/>
    </row>
    <row r="231" spans="1:7">
      <c r="A231" s="83"/>
      <c r="B231" s="84"/>
      <c r="C231" s="84"/>
      <c r="D231" s="84"/>
      <c r="E231" s="210"/>
      <c r="F231" s="84"/>
      <c r="G231" s="84"/>
    </row>
    <row r="233" spans="1:7">
      <c r="A233" s="50"/>
      <c r="B233" s="50"/>
      <c r="C233" s="50"/>
      <c r="D233" s="50"/>
      <c r="E233" s="211"/>
      <c r="F233" s="50"/>
      <c r="G233" s="50"/>
    </row>
    <row r="238" spans="1:7">
      <c r="A238" s="83"/>
      <c r="B238" s="84"/>
      <c r="C238" s="84"/>
      <c r="D238" s="84"/>
      <c r="E238" s="210"/>
      <c r="F238" s="84"/>
      <c r="G238" s="84"/>
    </row>
    <row r="240" spans="1:7">
      <c r="A240" s="50"/>
      <c r="B240" s="50"/>
      <c r="C240" s="50"/>
      <c r="D240" s="50"/>
      <c r="E240" s="211"/>
      <c r="F240" s="50"/>
      <c r="G240" s="50"/>
    </row>
    <row r="245" spans="1:7">
      <c r="A245" s="83"/>
      <c r="B245" s="84"/>
      <c r="C245" s="84"/>
      <c r="D245" s="84"/>
      <c r="E245" s="210"/>
      <c r="F245" s="84"/>
      <c r="G245" s="84"/>
    </row>
    <row r="247" spans="1:7">
      <c r="A247" s="50"/>
      <c r="B247" s="50"/>
      <c r="C247" s="50"/>
      <c r="D247" s="50"/>
      <c r="E247" s="211"/>
      <c r="F247" s="50"/>
      <c r="G247" s="50"/>
    </row>
    <row r="253" spans="1:7">
      <c r="A253" s="83"/>
      <c r="B253" s="85"/>
      <c r="C253" s="85"/>
      <c r="D253" s="85"/>
      <c r="E253" s="212"/>
      <c r="F253" s="85"/>
      <c r="G253" s="85"/>
    </row>
    <row r="256" spans="1:7">
      <c r="A256" s="50"/>
      <c r="B256" s="50"/>
      <c r="C256" s="50"/>
      <c r="D256" s="50"/>
      <c r="E256" s="211"/>
      <c r="F256" s="50"/>
      <c r="G256" s="50"/>
    </row>
    <row r="257" spans="1:7">
      <c r="A257" s="50"/>
    </row>
    <row r="258" spans="1:7">
      <c r="A258" s="50"/>
      <c r="B258" s="50"/>
      <c r="C258" s="50"/>
      <c r="D258" s="50"/>
      <c r="E258" s="211"/>
      <c r="F258" s="50"/>
      <c r="G258" s="50"/>
    </row>
    <row r="264" spans="1:7">
      <c r="A264" s="50"/>
      <c r="B264" s="84"/>
      <c r="C264" s="84"/>
      <c r="D264" s="84"/>
      <c r="E264" s="210"/>
      <c r="F264" s="84"/>
      <c r="G264" s="84"/>
    </row>
    <row r="266" spans="1:7">
      <c r="A266" s="50"/>
      <c r="B266" s="50"/>
      <c r="C266" s="50"/>
      <c r="D266" s="50"/>
      <c r="E266" s="211"/>
      <c r="F266" s="50"/>
      <c r="G266" s="50"/>
    </row>
    <row r="271" spans="1:7">
      <c r="A271" s="83"/>
      <c r="B271" s="84"/>
      <c r="C271" s="84"/>
      <c r="D271" s="84"/>
      <c r="E271" s="210"/>
      <c r="F271" s="84"/>
      <c r="G271" s="84"/>
    </row>
    <row r="273" spans="1:7">
      <c r="A273" s="50"/>
      <c r="B273" s="50"/>
      <c r="C273" s="50"/>
      <c r="D273" s="50"/>
      <c r="E273" s="211"/>
      <c r="F273" s="50"/>
      <c r="G273" s="50"/>
    </row>
    <row r="278" spans="1:7">
      <c r="A278" s="83"/>
      <c r="B278" s="84"/>
      <c r="C278" s="84"/>
      <c r="D278" s="84"/>
      <c r="E278" s="210"/>
      <c r="F278" s="84"/>
      <c r="G278" s="84"/>
    </row>
    <row r="280" spans="1:7">
      <c r="A280" s="50"/>
      <c r="B280" s="50"/>
      <c r="C280" s="50"/>
      <c r="D280" s="50"/>
      <c r="E280" s="211"/>
      <c r="F280" s="50"/>
      <c r="G280" s="50"/>
    </row>
    <row r="285" spans="1:7">
      <c r="A285" s="83"/>
      <c r="B285" s="84"/>
      <c r="C285" s="84"/>
      <c r="D285" s="84"/>
      <c r="E285" s="210"/>
      <c r="F285" s="84"/>
      <c r="G285" s="84"/>
    </row>
    <row r="287" spans="1:7">
      <c r="A287" s="50"/>
      <c r="B287" s="50"/>
      <c r="C287" s="50"/>
      <c r="D287" s="50"/>
      <c r="E287" s="211"/>
      <c r="F287" s="50"/>
      <c r="G287" s="50"/>
    </row>
    <row r="293" spans="1:7">
      <c r="A293" s="83"/>
      <c r="B293" s="85"/>
      <c r="C293" s="85"/>
      <c r="D293" s="85"/>
      <c r="E293" s="212"/>
      <c r="F293" s="85"/>
      <c r="G293" s="85"/>
    </row>
    <row r="294" spans="1:7" ht="16.5" customHeight="1"/>
    <row r="296" spans="1:7">
      <c r="A296" s="50"/>
      <c r="B296" s="50"/>
      <c r="C296" s="50"/>
      <c r="D296" s="50"/>
      <c r="E296" s="211"/>
      <c r="F296" s="50"/>
      <c r="G296" s="50"/>
    </row>
    <row r="297" spans="1:7">
      <c r="A297" s="50"/>
    </row>
    <row r="298" spans="1:7">
      <c r="A298" s="50"/>
      <c r="B298" s="50"/>
      <c r="C298" s="50"/>
      <c r="D298" s="50"/>
      <c r="E298" s="211"/>
      <c r="F298" s="50"/>
      <c r="G298" s="50"/>
    </row>
    <row r="304" spans="1:7">
      <c r="A304" s="50"/>
      <c r="B304" s="84"/>
      <c r="C304" s="84"/>
      <c r="D304" s="84"/>
      <c r="E304" s="210"/>
      <c r="F304" s="84"/>
      <c r="G304" s="84"/>
    </row>
    <row r="306" spans="1:7">
      <c r="A306" s="50"/>
      <c r="B306" s="50"/>
      <c r="C306" s="50"/>
      <c r="D306" s="50"/>
      <c r="E306" s="211"/>
      <c r="F306" s="50"/>
      <c r="G306" s="50"/>
    </row>
    <row r="311" spans="1:7">
      <c r="A311" s="83"/>
      <c r="B311" s="84"/>
      <c r="C311" s="84"/>
      <c r="D311" s="84"/>
      <c r="E311" s="210"/>
      <c r="F311" s="84"/>
      <c r="G311" s="84"/>
    </row>
    <row r="313" spans="1:7">
      <c r="A313" s="50"/>
      <c r="B313" s="50"/>
      <c r="C313" s="50"/>
      <c r="D313" s="50"/>
      <c r="E313" s="211"/>
      <c r="F313" s="50"/>
      <c r="G313" s="50"/>
    </row>
    <row r="318" spans="1:7">
      <c r="A318" s="83"/>
      <c r="B318" s="84"/>
      <c r="C318" s="84"/>
      <c r="D318" s="84"/>
      <c r="E318" s="210"/>
      <c r="F318" s="84"/>
      <c r="G318" s="84"/>
    </row>
    <row r="320" spans="1:7">
      <c r="A320" s="50"/>
      <c r="B320" s="50"/>
      <c r="C320" s="50"/>
      <c r="D320" s="50"/>
      <c r="E320" s="211"/>
      <c r="F320" s="50"/>
      <c r="G320" s="50"/>
    </row>
    <row r="325" spans="1:7">
      <c r="A325" s="83"/>
      <c r="B325" s="84"/>
      <c r="C325" s="84"/>
      <c r="D325" s="84"/>
      <c r="E325" s="210"/>
      <c r="F325" s="84"/>
      <c r="G325" s="84"/>
    </row>
    <row r="327" spans="1:7">
      <c r="A327" s="50"/>
      <c r="B327" s="50"/>
      <c r="C327" s="50"/>
      <c r="D327" s="50"/>
      <c r="E327" s="211"/>
      <c r="F327" s="50"/>
      <c r="G327" s="50"/>
    </row>
    <row r="333" spans="1:7">
      <c r="A333" s="83"/>
      <c r="B333" s="85"/>
      <c r="C333" s="85"/>
      <c r="D333" s="85"/>
      <c r="E333" s="212"/>
      <c r="F333" s="85"/>
      <c r="G333" s="85"/>
    </row>
    <row r="336" spans="1:7">
      <c r="A336" s="50"/>
      <c r="B336" s="50"/>
      <c r="C336" s="50"/>
      <c r="D336" s="50"/>
      <c r="E336" s="211"/>
      <c r="F336" s="50"/>
      <c r="G336" s="50"/>
    </row>
    <row r="337" spans="1:7">
      <c r="A337" s="50"/>
    </row>
    <row r="338" spans="1:7">
      <c r="A338" s="50"/>
      <c r="B338" s="50"/>
      <c r="C338" s="50"/>
      <c r="D338" s="50"/>
      <c r="E338" s="211"/>
      <c r="F338" s="50"/>
      <c r="G338" s="50"/>
    </row>
    <row r="344" spans="1:7">
      <c r="A344" s="50"/>
      <c r="B344" s="84"/>
      <c r="C344" s="84"/>
      <c r="D344" s="84"/>
      <c r="E344" s="210"/>
      <c r="F344" s="84"/>
      <c r="G344" s="84"/>
    </row>
    <row r="346" spans="1:7">
      <c r="A346" s="50"/>
      <c r="B346" s="50"/>
      <c r="C346" s="50"/>
      <c r="D346" s="50"/>
      <c r="E346" s="211"/>
      <c r="F346" s="50"/>
      <c r="G346" s="50"/>
    </row>
    <row r="351" spans="1:7">
      <c r="A351" s="83"/>
      <c r="B351" s="84"/>
      <c r="C351" s="84"/>
      <c r="D351" s="84"/>
      <c r="E351" s="210"/>
      <c r="F351" s="84"/>
      <c r="G351" s="84"/>
    </row>
    <row r="353" spans="1:7">
      <c r="A353" s="50"/>
      <c r="B353" s="50"/>
      <c r="C353" s="50"/>
      <c r="D353" s="50"/>
      <c r="E353" s="211"/>
      <c r="F353" s="50"/>
      <c r="G353" s="50"/>
    </row>
    <row r="358" spans="1:7">
      <c r="A358" s="83"/>
      <c r="B358" s="84"/>
      <c r="C358" s="84"/>
      <c r="D358" s="84"/>
      <c r="E358" s="210"/>
      <c r="F358" s="84"/>
      <c r="G358" s="84"/>
    </row>
    <row r="360" spans="1:7">
      <c r="A360" s="50"/>
      <c r="B360" s="50"/>
      <c r="C360" s="50"/>
      <c r="D360" s="50"/>
      <c r="E360" s="211"/>
      <c r="F360" s="50"/>
      <c r="G360" s="50"/>
    </row>
    <row r="365" spans="1:7">
      <c r="A365" s="83"/>
      <c r="B365" s="84"/>
      <c r="C365" s="84"/>
      <c r="D365" s="84"/>
      <c r="E365" s="210"/>
      <c r="F365" s="84"/>
      <c r="G365" s="84"/>
    </row>
    <row r="367" spans="1:7">
      <c r="A367" s="50"/>
      <c r="B367" s="50"/>
      <c r="C367" s="50"/>
      <c r="D367" s="50"/>
      <c r="E367" s="211"/>
      <c r="F367" s="50"/>
      <c r="G367" s="50"/>
    </row>
    <row r="373" spans="1:7">
      <c r="A373" s="83"/>
      <c r="B373" s="85"/>
      <c r="C373" s="85"/>
      <c r="D373" s="85"/>
      <c r="E373" s="212"/>
      <c r="F373" s="85"/>
      <c r="G373" s="85"/>
    </row>
    <row r="376" spans="1:7">
      <c r="A376" s="50"/>
      <c r="B376" s="50"/>
      <c r="C376" s="50"/>
      <c r="D376" s="50"/>
      <c r="E376" s="211"/>
      <c r="F376" s="50"/>
      <c r="G376" s="50"/>
    </row>
    <row r="377" spans="1:7">
      <c r="A377" s="50"/>
    </row>
    <row r="378" spans="1:7">
      <c r="A378" s="50"/>
      <c r="B378" s="50"/>
      <c r="C378" s="50"/>
      <c r="D378" s="50"/>
      <c r="E378" s="211"/>
      <c r="F378" s="50"/>
      <c r="G378" s="50"/>
    </row>
    <row r="384" spans="1:7">
      <c r="A384" s="50"/>
      <c r="B384" s="84"/>
      <c r="C384" s="84"/>
      <c r="D384" s="84"/>
      <c r="E384" s="210"/>
      <c r="F384" s="84"/>
      <c r="G384" s="84"/>
    </row>
    <row r="386" spans="1:7">
      <c r="A386" s="50"/>
      <c r="B386" s="50"/>
      <c r="C386" s="50"/>
      <c r="D386" s="50"/>
      <c r="E386" s="211"/>
      <c r="F386" s="50"/>
      <c r="G386" s="50"/>
    </row>
    <row r="391" spans="1:7">
      <c r="A391" s="83"/>
      <c r="B391" s="84"/>
      <c r="C391" s="84"/>
      <c r="D391" s="84"/>
      <c r="E391" s="210"/>
      <c r="F391" s="84"/>
      <c r="G391" s="84"/>
    </row>
    <row r="393" spans="1:7">
      <c r="A393" s="50"/>
      <c r="B393" s="50"/>
      <c r="C393" s="50"/>
      <c r="D393" s="50"/>
      <c r="E393" s="211"/>
      <c r="F393" s="50"/>
      <c r="G393" s="50"/>
    </row>
    <row r="398" spans="1:7">
      <c r="A398" s="83"/>
      <c r="B398" s="84"/>
      <c r="C398" s="84"/>
      <c r="D398" s="84"/>
      <c r="E398" s="210"/>
      <c r="F398" s="84"/>
      <c r="G398" s="84"/>
    </row>
    <row r="400" spans="1:7">
      <c r="A400" s="50"/>
      <c r="B400" s="50"/>
      <c r="C400" s="50"/>
      <c r="D400" s="50"/>
      <c r="E400" s="211"/>
      <c r="F400" s="50"/>
      <c r="G400" s="50"/>
    </row>
    <row r="405" spans="1:7">
      <c r="A405" s="83"/>
      <c r="B405" s="84"/>
      <c r="C405" s="84"/>
      <c r="D405" s="84"/>
      <c r="E405" s="210"/>
      <c r="F405" s="84"/>
      <c r="G405" s="84"/>
    </row>
    <row r="407" spans="1:7">
      <c r="A407" s="50"/>
      <c r="B407" s="50"/>
      <c r="C407" s="50"/>
      <c r="D407" s="50"/>
      <c r="E407" s="211"/>
      <c r="F407" s="50"/>
      <c r="G407" s="50"/>
    </row>
    <row r="413" spans="1:7">
      <c r="A413" s="83"/>
      <c r="B413" s="85"/>
      <c r="C413" s="85"/>
      <c r="D413" s="85"/>
      <c r="E413" s="212"/>
      <c r="F413" s="85"/>
      <c r="G413" s="85"/>
    </row>
    <row r="418" spans="1:1">
      <c r="A418" s="50"/>
    </row>
    <row r="419" spans="1:1">
      <c r="A419" s="50"/>
    </row>
    <row r="420" spans="1:1">
      <c r="A420" s="50"/>
    </row>
    <row r="421" spans="1:1">
      <c r="A421" s="50"/>
    </row>
  </sheetData>
  <customSheetViews>
    <customSheetView guid="{AE6F0488-1842-4C89-B05F-A836B633FB8F}" scale="75" showPageBreaks="1" hiddenColumns="1" showRuler="0">
      <pane xSplit="1" ySplit="3" topLeftCell="F16" activePane="bottomRight" state="frozen"/>
      <selection pane="bottomRight" activeCell="F23" sqref="F23"/>
      <rowBreaks count="1" manualBreakCount="1">
        <brk id="45" max="15" man="1"/>
      </rowBreaks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E17" sqref="E17"/>
      <rowBreaks count="1" manualBreakCount="1">
        <brk id="45" max="15" man="1"/>
      </rowBreaks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75" activePane="bottomRight" state="frozen"/>
      <selection pane="bottomRight" activeCell="D32" sqref="D32"/>
      <rowBreaks count="1" manualBreakCount="1">
        <brk id="45" max="15" man="1"/>
      </rowBreaks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7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1" manualBreakCount="1">
    <brk id="54" max="16" man="1"/>
  </rowBreaks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8" tint="0.79998168889431442"/>
    <pageSetUpPr fitToPage="1"/>
  </sheetPr>
  <dimension ref="A1:Y1548"/>
  <sheetViews>
    <sheetView view="pageBreakPreview" zoomScale="73" zoomScaleNormal="75" zoomScaleSheetLayoutView="73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.75"/>
  <cols>
    <col min="1" max="1" width="40.5703125" style="49" customWidth="1"/>
    <col min="2" max="2" width="14" style="82" customWidth="1"/>
    <col min="3" max="3" width="11" style="82" customWidth="1"/>
    <col min="4" max="4" width="15.140625" style="82" customWidth="1"/>
    <col min="5" max="5" width="17" style="209" hidden="1" customWidth="1"/>
    <col min="6" max="6" width="21.42578125" style="82" customWidth="1"/>
    <col min="7" max="7" width="19.7109375" style="82" customWidth="1"/>
    <col min="8" max="8" width="22.85546875" style="49" customWidth="1"/>
    <col min="9" max="9" width="13.85546875" style="49" customWidth="1"/>
    <col min="10" max="10" width="20" style="49" customWidth="1"/>
    <col min="11" max="11" width="15.85546875" style="49" customWidth="1"/>
    <col min="12" max="12" width="21.85546875" style="49" bestFit="1" customWidth="1"/>
    <col min="13" max="13" width="20.140625" style="49" customWidth="1"/>
    <col min="14" max="14" width="21.28515625" style="49" customWidth="1"/>
    <col min="15" max="15" width="18.7109375" style="49" customWidth="1"/>
    <col min="16" max="16" width="16.42578125" style="49" customWidth="1"/>
    <col min="17" max="17" width="21.7109375" style="49" customWidth="1"/>
    <col min="18" max="18" width="9.140625" style="49"/>
    <col min="19" max="19" width="16" style="49" customWidth="1"/>
    <col min="20" max="20" width="20.140625" style="449" customWidth="1"/>
    <col min="21" max="21" width="15.5703125" style="49" customWidth="1"/>
    <col min="22" max="22" width="17" style="49" customWidth="1"/>
    <col min="23" max="23" width="17.140625" style="49" customWidth="1"/>
    <col min="24" max="24" width="18.42578125" style="49" customWidth="1"/>
    <col min="25" max="16384" width="9.140625" style="49"/>
  </cols>
  <sheetData>
    <row r="1" spans="1:25" ht="15.75" customHeight="1">
      <c r="A1" s="1" t="s">
        <v>231</v>
      </c>
      <c r="B1" s="48"/>
      <c r="C1" s="48"/>
      <c r="D1" s="43"/>
      <c r="E1" s="17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ht="15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  <c r="T2" s="450"/>
    </row>
    <row r="3" spans="1:25" s="9" customFormat="1" ht="97.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43"/>
      <c r="C4" s="51"/>
      <c r="D4" s="52"/>
      <c r="E4" s="203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25">
      <c r="A5" s="54" t="s">
        <v>10</v>
      </c>
      <c r="B5" s="51"/>
      <c r="C5" s="51"/>
      <c r="D5" s="52"/>
      <c r="E5" s="203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5">
      <c r="A6" s="50"/>
      <c r="B6" s="51"/>
      <c r="C6" s="51"/>
      <c r="D6" s="52"/>
      <c r="E6" s="203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5">
      <c r="A7" s="47" t="str">
        <f>A29</f>
        <v>STATE OF NEVADA</v>
      </c>
      <c r="B7" s="48">
        <f t="shared" ref="B7:Q7" si="0">B38</f>
        <v>0.17</v>
      </c>
      <c r="C7" s="48">
        <f t="shared" si="0"/>
        <v>0</v>
      </c>
      <c r="D7" s="43">
        <f t="shared" si="0"/>
        <v>192380</v>
      </c>
      <c r="E7" s="173"/>
      <c r="F7" s="43">
        <f t="shared" si="0"/>
        <v>36303710751.791176</v>
      </c>
      <c r="G7" s="53">
        <f t="shared" si="0"/>
        <v>2839185.7211000002</v>
      </c>
      <c r="H7" s="53">
        <f t="shared" si="0"/>
        <v>58920460.101499997</v>
      </c>
      <c r="I7" s="53">
        <f t="shared" si="0"/>
        <v>0</v>
      </c>
      <c r="J7" s="53">
        <f t="shared" si="0"/>
        <v>6520901.8799999999</v>
      </c>
      <c r="K7" s="53">
        <f t="shared" si="0"/>
        <v>269.48</v>
      </c>
      <c r="L7" s="53">
        <f t="shared" si="0"/>
        <v>55239013.422600001</v>
      </c>
      <c r="M7" s="53">
        <f t="shared" si="0"/>
        <v>10672057.68</v>
      </c>
      <c r="N7" s="53">
        <f t="shared" si="0"/>
        <v>44566955.742600001</v>
      </c>
      <c r="O7" s="53">
        <f t="shared" si="0"/>
        <v>1299752.1599999999</v>
      </c>
      <c r="P7" s="53">
        <f>P38</f>
        <v>13745.36</v>
      </c>
      <c r="Q7" s="53">
        <f t="shared" si="0"/>
        <v>43253458.222600006</v>
      </c>
      <c r="W7" s="174" t="s">
        <v>15</v>
      </c>
      <c r="X7" s="284">
        <f>Q31+Q59+Q78+Q90+Q104+Q116+Q128+Q152+Q164+Q176+Q188+Q200+Q212+Q224+Q236+Q248+Q260+Q272</f>
        <v>844910598.8499999</v>
      </c>
      <c r="Y7" s="390" t="s">
        <v>461</v>
      </c>
    </row>
    <row r="8" spans="1:25">
      <c r="A8" s="49" t="str">
        <f>A41</f>
        <v>GENERAL COUNTY</v>
      </c>
      <c r="B8" s="48">
        <f t="shared" ref="B8:Q8" si="1">B66</f>
        <v>1.3917000000000002</v>
      </c>
      <c r="C8" s="48">
        <f t="shared" si="1"/>
        <v>0</v>
      </c>
      <c r="D8" s="43">
        <f t="shared" si="1"/>
        <v>192380</v>
      </c>
      <c r="E8" s="173"/>
      <c r="F8" s="43">
        <f t="shared" si="1"/>
        <v>36303710222.482964</v>
      </c>
      <c r="G8" s="53">
        <f t="shared" si="1"/>
        <v>23242912.363611005</v>
      </c>
      <c r="H8" s="53">
        <f t="shared" si="1"/>
        <v>482350631.61321503</v>
      </c>
      <c r="I8" s="53">
        <f t="shared" si="1"/>
        <v>0</v>
      </c>
      <c r="J8" s="53">
        <f t="shared" si="1"/>
        <v>53383153.07</v>
      </c>
      <c r="K8" s="53">
        <f t="shared" si="1"/>
        <v>2205.98</v>
      </c>
      <c r="L8" s="53">
        <f t="shared" si="1"/>
        <v>452212596.88682604</v>
      </c>
      <c r="M8" s="53">
        <f t="shared" si="1"/>
        <v>87366500.919999987</v>
      </c>
      <c r="N8" s="53">
        <f t="shared" si="1"/>
        <v>364846095.96682602</v>
      </c>
      <c r="O8" s="53">
        <f t="shared" si="1"/>
        <v>10861409.619999997</v>
      </c>
      <c r="P8" s="53">
        <f>P66</f>
        <v>112525.97</v>
      </c>
      <c r="Q8" s="53">
        <f t="shared" si="1"/>
        <v>353872160.37682605</v>
      </c>
      <c r="W8" s="171" t="s">
        <v>16</v>
      </c>
      <c r="X8" s="284">
        <f t="shared" ref="X8:X13" si="2">Q32+Q60+Q79+Q91+Q105+Q117+Q129+Q153+Q165+Q177+Q189+Q201+Q213+Q225+Q237+Q249+Q261+Q273</f>
        <v>42562600.212970026</v>
      </c>
    </row>
    <row r="9" spans="1:25">
      <c r="A9" s="47" t="str">
        <f>A76</f>
        <v>SCHOOL DISTRICT</v>
      </c>
      <c r="B9" s="48">
        <f t="shared" ref="B9:Q9" si="3">B99</f>
        <v>1.1385000000000001</v>
      </c>
      <c r="C9" s="48">
        <f t="shared" si="3"/>
        <v>0</v>
      </c>
      <c r="D9" s="43">
        <f t="shared" si="3"/>
        <v>192380</v>
      </c>
      <c r="E9" s="173"/>
      <c r="F9" s="43">
        <f t="shared" si="3"/>
        <v>36303709165.516663</v>
      </c>
      <c r="G9" s="53">
        <f t="shared" si="3"/>
        <v>19014195.137455001</v>
      </c>
      <c r="H9" s="53">
        <f t="shared" si="3"/>
        <v>394593899.23707497</v>
      </c>
      <c r="I9" s="53">
        <f t="shared" si="3"/>
        <v>0</v>
      </c>
      <c r="J9" s="53">
        <f t="shared" si="3"/>
        <v>42961458.43</v>
      </c>
      <c r="K9" s="53">
        <f t="shared" si="3"/>
        <v>1804.7600000000002</v>
      </c>
      <c r="L9" s="53">
        <f t="shared" si="3"/>
        <v>370648440.70453</v>
      </c>
      <c r="M9" s="53">
        <f t="shared" si="3"/>
        <v>71471407.620000005</v>
      </c>
      <c r="N9" s="53">
        <f t="shared" si="3"/>
        <v>299177033.08453</v>
      </c>
      <c r="O9" s="53">
        <f t="shared" si="3"/>
        <v>6168134.4900000002</v>
      </c>
      <c r="P9" s="53">
        <f>P99</f>
        <v>92053.48</v>
      </c>
      <c r="Q9" s="53">
        <f t="shared" si="3"/>
        <v>287594932.15202993</v>
      </c>
      <c r="W9" s="171" t="s">
        <v>17</v>
      </c>
      <c r="X9" s="284">
        <f t="shared" si="2"/>
        <v>20146615.514252</v>
      </c>
    </row>
    <row r="10" spans="1:25">
      <c r="A10" s="49" t="str">
        <f>A102</f>
        <v>CITY OF RENO</v>
      </c>
      <c r="B10" s="48">
        <f t="shared" ref="B10:Q10" si="4">B111</f>
        <v>0.95979999999999999</v>
      </c>
      <c r="C10" s="48">
        <f t="shared" si="4"/>
        <v>0</v>
      </c>
      <c r="D10" s="43">
        <f t="shared" si="4"/>
        <v>91711</v>
      </c>
      <c r="E10" s="173"/>
      <c r="F10" s="43">
        <f t="shared" si="4"/>
        <v>18190067913.230965</v>
      </c>
      <c r="G10" s="53">
        <f t="shared" si="4"/>
        <v>7267689.4352960009</v>
      </c>
      <c r="H10" s="53">
        <f t="shared" si="4"/>
        <v>167321062.30371201</v>
      </c>
      <c r="I10" s="53">
        <f t="shared" si="4"/>
        <v>0</v>
      </c>
      <c r="J10" s="53">
        <f t="shared" si="4"/>
        <v>21922674.07</v>
      </c>
      <c r="K10" s="53">
        <f t="shared" si="4"/>
        <v>897.41</v>
      </c>
      <c r="L10" s="53">
        <f t="shared" si="4"/>
        <v>152666975.07900795</v>
      </c>
      <c r="M10" s="53">
        <f t="shared" si="4"/>
        <v>26009530.639999997</v>
      </c>
      <c r="N10" s="53">
        <f t="shared" si="4"/>
        <v>126657444.439008</v>
      </c>
      <c r="O10" s="53">
        <f t="shared" si="4"/>
        <v>3912105.3600000003</v>
      </c>
      <c r="P10" s="53">
        <f>P111</f>
        <v>0</v>
      </c>
      <c r="Q10" s="53">
        <f t="shared" si="4"/>
        <v>122745339.07900801</v>
      </c>
      <c r="S10" s="53">
        <f>SUM(L10:L11)</f>
        <v>208298113.97406596</v>
      </c>
      <c r="U10" s="53">
        <f>SUM(Q10:Q11)</f>
        <v>165630825.92406601</v>
      </c>
      <c r="W10" s="171" t="s">
        <v>18</v>
      </c>
      <c r="X10" s="284">
        <f t="shared" si="2"/>
        <v>0</v>
      </c>
    </row>
    <row r="11" spans="1:25">
      <c r="A11" s="49" t="str">
        <f>A114</f>
        <v>CITY OF SPARKS</v>
      </c>
      <c r="B11" s="48">
        <f t="shared" ref="B11:Q11" si="5">B123</f>
        <v>0.95979999999999999</v>
      </c>
      <c r="C11" s="48">
        <f t="shared" si="5"/>
        <v>0</v>
      </c>
      <c r="D11" s="43">
        <f t="shared" si="5"/>
        <v>39093</v>
      </c>
      <c r="E11" s="173"/>
      <c r="F11" s="43">
        <f t="shared" si="5"/>
        <v>6123939248.0114594</v>
      </c>
      <c r="G11" s="53">
        <f t="shared" si="5"/>
        <v>2918567.4861799995</v>
      </c>
      <c r="H11" s="53">
        <f t="shared" si="5"/>
        <v>55859242.028877996</v>
      </c>
      <c r="I11" s="53">
        <f t="shared" si="5"/>
        <v>0</v>
      </c>
      <c r="J11" s="53">
        <f t="shared" si="5"/>
        <v>3146865.92</v>
      </c>
      <c r="K11" s="53">
        <f t="shared" si="5"/>
        <v>195.3</v>
      </c>
      <c r="L11" s="53">
        <f t="shared" si="5"/>
        <v>55631138.895057999</v>
      </c>
      <c r="M11" s="53">
        <f t="shared" si="5"/>
        <v>10574807.389999999</v>
      </c>
      <c r="N11" s="53">
        <f t="shared" si="5"/>
        <v>45056331.505057998</v>
      </c>
      <c r="O11" s="53">
        <f t="shared" si="5"/>
        <v>2170844.66</v>
      </c>
      <c r="P11" s="53">
        <f>P123</f>
        <v>0</v>
      </c>
      <c r="Q11" s="53">
        <f t="shared" si="5"/>
        <v>42885486.845057994</v>
      </c>
      <c r="W11" s="285" t="s">
        <v>19</v>
      </c>
      <c r="X11" s="284">
        <f>Q35+Q63+Q82+Q94+Q108+Q120+Q132+Q156+Q168+Q180+Q192+Q204+Q216+Q228+Q240+Q252+Q264+Q276</f>
        <v>14467678.610000001</v>
      </c>
      <c r="Y11" s="390" t="s">
        <v>461</v>
      </c>
    </row>
    <row r="12" spans="1:25">
      <c r="A12" s="47" t="str">
        <f>A126</f>
        <v>INCLINE VILLAGE GID</v>
      </c>
      <c r="B12" s="475">
        <f t="shared" ref="B12:Q12" si="6">B135</f>
        <v>0.14680000000000001</v>
      </c>
      <c r="C12" s="48">
        <f t="shared" si="6"/>
        <v>0</v>
      </c>
      <c r="D12" s="43">
        <f t="shared" si="6"/>
        <v>9386</v>
      </c>
      <c r="E12" s="173"/>
      <c r="F12" s="43">
        <f t="shared" si="6"/>
        <v>3268019202.3110352</v>
      </c>
      <c r="G12" s="53">
        <f t="shared" si="6"/>
        <v>43039.613940000003</v>
      </c>
      <c r="H12" s="53">
        <f t="shared" si="6"/>
        <v>4815825.5981319994</v>
      </c>
      <c r="I12" s="53">
        <f t="shared" si="6"/>
        <v>0</v>
      </c>
      <c r="J12" s="53">
        <f t="shared" si="6"/>
        <v>469621.28</v>
      </c>
      <c r="K12" s="53">
        <f t="shared" si="6"/>
        <v>0</v>
      </c>
      <c r="L12" s="53">
        <f t="shared" si="6"/>
        <v>4389243.9320719996</v>
      </c>
      <c r="M12" s="53">
        <f t="shared" si="6"/>
        <v>1853000.49</v>
      </c>
      <c r="N12" s="53">
        <f t="shared" si="6"/>
        <v>2536243.4420719999</v>
      </c>
      <c r="O12" s="53">
        <f t="shared" si="6"/>
        <v>0</v>
      </c>
      <c r="P12" s="53">
        <f>P135</f>
        <v>0</v>
      </c>
      <c r="Q12" s="53">
        <f t="shared" si="6"/>
        <v>2536243.4420719999</v>
      </c>
      <c r="S12" s="53">
        <f>SUM(L12:L24)</f>
        <v>98511905.441699997</v>
      </c>
      <c r="U12" s="53">
        <f>SUM(Q12:Q24)</f>
        <v>73530581.40169999</v>
      </c>
      <c r="W12" s="285" t="s">
        <v>20</v>
      </c>
      <c r="X12" s="284">
        <f t="shared" si="2"/>
        <v>1794464.89</v>
      </c>
      <c r="Y12" s="390" t="s">
        <v>461</v>
      </c>
    </row>
    <row r="13" spans="1:25" hidden="1">
      <c r="A13" s="47" t="s">
        <v>235</v>
      </c>
      <c r="B13" s="48">
        <f t="shared" ref="B13:Q13" si="7">B147</f>
        <v>0</v>
      </c>
      <c r="C13" s="48">
        <f t="shared" si="7"/>
        <v>0</v>
      </c>
      <c r="D13" s="43">
        <f t="shared" si="7"/>
        <v>0</v>
      </c>
      <c r="E13" s="173"/>
      <c r="F13" s="43">
        <f t="shared" si="7"/>
        <v>0</v>
      </c>
      <c r="G13" s="53">
        <f t="shared" si="7"/>
        <v>0</v>
      </c>
      <c r="H13" s="53">
        <f t="shared" si="7"/>
        <v>0</v>
      </c>
      <c r="I13" s="53">
        <f t="shared" si="7"/>
        <v>0</v>
      </c>
      <c r="J13" s="53">
        <f t="shared" si="7"/>
        <v>0</v>
      </c>
      <c r="K13" s="53">
        <f t="shared" si="7"/>
        <v>0</v>
      </c>
      <c r="L13" s="53">
        <f t="shared" si="7"/>
        <v>0</v>
      </c>
      <c r="M13" s="53">
        <f t="shared" si="7"/>
        <v>0</v>
      </c>
      <c r="N13" s="53">
        <f t="shared" si="7"/>
        <v>0</v>
      </c>
      <c r="O13" s="53">
        <f t="shared" si="7"/>
        <v>0</v>
      </c>
      <c r="P13" s="53">
        <f>P147</f>
        <v>0</v>
      </c>
      <c r="Q13" s="53">
        <f t="shared" si="7"/>
        <v>0</v>
      </c>
      <c r="W13" s="174"/>
      <c r="X13" s="284">
        <f t="shared" si="2"/>
        <v>0</v>
      </c>
    </row>
    <row r="14" spans="1:25">
      <c r="A14" s="49" t="str">
        <f>A150</f>
        <v>NO LAKE TAHOE FIRE PROTECTION DISTRICT</v>
      </c>
      <c r="B14" s="48">
        <f t="shared" ref="B14:Q14" si="8">B159</f>
        <v>0.67479999999999996</v>
      </c>
      <c r="C14" s="48">
        <f t="shared" si="8"/>
        <v>0</v>
      </c>
      <c r="D14" s="43">
        <f t="shared" si="8"/>
        <v>9430</v>
      </c>
      <c r="E14" s="454"/>
      <c r="F14" s="43">
        <f t="shared" si="8"/>
        <v>3309925789.962976</v>
      </c>
      <c r="G14" s="53">
        <f t="shared" si="8"/>
        <v>211944.51584399995</v>
      </c>
      <c r="H14" s="53">
        <f t="shared" si="8"/>
        <v>22123450.219347998</v>
      </c>
      <c r="I14" s="53">
        <f t="shared" si="8"/>
        <v>0</v>
      </c>
      <c r="J14" s="53">
        <f t="shared" si="8"/>
        <v>2228250.36</v>
      </c>
      <c r="K14" s="53">
        <f t="shared" si="8"/>
        <v>0</v>
      </c>
      <c r="L14" s="53">
        <f t="shared" si="8"/>
        <v>20107144.375191998</v>
      </c>
      <c r="M14" s="53">
        <f t="shared" si="8"/>
        <v>6446450.3399999999</v>
      </c>
      <c r="N14" s="53">
        <f t="shared" si="8"/>
        <v>13660694.035191998</v>
      </c>
      <c r="O14" s="53">
        <f t="shared" si="8"/>
        <v>0</v>
      </c>
      <c r="P14" s="53">
        <f>P159</f>
        <v>0</v>
      </c>
      <c r="Q14" s="53">
        <f t="shared" si="8"/>
        <v>13660694.035191998</v>
      </c>
      <c r="X14" s="53">
        <f>Q38+Q66+Q85+Q97+Q111+Q123+Q135+Q159+Q171+Q183+Q195+Q207+Q219+Q231+Q243+Q255+Q267+Q279</f>
        <v>923881958.07722187</v>
      </c>
    </row>
    <row r="15" spans="1:25">
      <c r="A15" s="55" t="str">
        <f>A162</f>
        <v>PALOMINO VALLEY GID</v>
      </c>
      <c r="B15" s="48">
        <f t="shared" ref="B15:Q15" si="9">B171</f>
        <v>0.41980000000000001</v>
      </c>
      <c r="C15" s="48">
        <f t="shared" si="9"/>
        <v>0</v>
      </c>
      <c r="D15" s="43">
        <f t="shared" si="9"/>
        <v>1516</v>
      </c>
      <c r="E15" s="173"/>
      <c r="F15" s="43">
        <f t="shared" si="9"/>
        <v>166530292.99384946</v>
      </c>
      <c r="G15" s="53">
        <f t="shared" si="9"/>
        <v>10720.135754000003</v>
      </c>
      <c r="H15" s="53">
        <f t="shared" si="9"/>
        <v>688375.29685199994</v>
      </c>
      <c r="I15" s="53">
        <f t="shared" si="9"/>
        <v>0</v>
      </c>
      <c r="J15" s="53">
        <f t="shared" si="9"/>
        <v>8758.4500000000007</v>
      </c>
      <c r="K15" s="53">
        <f t="shared" si="9"/>
        <v>0</v>
      </c>
      <c r="L15" s="53">
        <f t="shared" si="9"/>
        <v>690336.98260600003</v>
      </c>
      <c r="M15" s="53">
        <f t="shared" si="9"/>
        <v>154649.08000000002</v>
      </c>
      <c r="N15" s="53">
        <f t="shared" si="9"/>
        <v>535687.90260600008</v>
      </c>
      <c r="O15" s="53">
        <f t="shared" si="9"/>
        <v>0</v>
      </c>
      <c r="P15" s="53">
        <f>P171</f>
        <v>0</v>
      </c>
      <c r="Q15" s="53">
        <f t="shared" si="9"/>
        <v>535687.90260600008</v>
      </c>
    </row>
    <row r="16" spans="1:25">
      <c r="A16" s="49" t="str">
        <f>A174</f>
        <v>RENO RDA  #1</v>
      </c>
      <c r="B16" s="48">
        <f t="shared" ref="B16:Q16" si="10">B183</f>
        <v>0</v>
      </c>
      <c r="C16" s="48">
        <f t="shared" si="10"/>
        <v>0</v>
      </c>
      <c r="D16" s="43">
        <f t="shared" si="10"/>
        <v>1756</v>
      </c>
      <c r="E16" s="173"/>
      <c r="F16" s="105">
        <f>F183</f>
        <v>724253012.99000001</v>
      </c>
      <c r="G16" s="53">
        <f t="shared" si="10"/>
        <v>1732.72</v>
      </c>
      <c r="H16" s="53">
        <f t="shared" si="10"/>
        <v>9869715.0600000005</v>
      </c>
      <c r="I16" s="53">
        <f t="shared" si="10"/>
        <v>0</v>
      </c>
      <c r="J16" s="53">
        <f t="shared" si="10"/>
        <v>1771401.37</v>
      </c>
      <c r="K16" s="53">
        <f t="shared" si="10"/>
        <v>0</v>
      </c>
      <c r="L16" s="53">
        <f t="shared" si="10"/>
        <v>8100046.4100000011</v>
      </c>
      <c r="M16" s="53">
        <f t="shared" si="10"/>
        <v>2637248.7799999998</v>
      </c>
      <c r="N16" s="53">
        <f t="shared" si="10"/>
        <v>5462797.6300000008</v>
      </c>
      <c r="O16" s="53">
        <f t="shared" si="10"/>
        <v>0</v>
      </c>
      <c r="P16" s="53">
        <f>P183</f>
        <v>0</v>
      </c>
      <c r="Q16" s="320">
        <f t="shared" si="10"/>
        <v>5462797.6300000008</v>
      </c>
      <c r="X16" s="53">
        <f>X14-Q26</f>
        <v>0</v>
      </c>
    </row>
    <row r="17" spans="1:25">
      <c r="A17" s="49" t="str">
        <f>A186</f>
        <v>RENO RDA #2</v>
      </c>
      <c r="B17" s="48">
        <f t="shared" ref="B17:Q17" si="11">B195</f>
        <v>0</v>
      </c>
      <c r="C17" s="48">
        <f t="shared" si="11"/>
        <v>0</v>
      </c>
      <c r="D17" s="43">
        <f t="shared" si="11"/>
        <v>3760</v>
      </c>
      <c r="E17" s="173"/>
      <c r="F17" s="105">
        <f t="shared" si="11"/>
        <v>1293373339.4100001</v>
      </c>
      <c r="G17" s="53">
        <f t="shared" si="11"/>
        <v>36218.910000000003</v>
      </c>
      <c r="H17" s="53">
        <f t="shared" si="11"/>
        <v>19694162.079999998</v>
      </c>
      <c r="I17" s="53">
        <f t="shared" si="11"/>
        <v>0</v>
      </c>
      <c r="J17" s="53">
        <f t="shared" si="11"/>
        <v>4939848.59</v>
      </c>
      <c r="K17" s="53">
        <f t="shared" si="11"/>
        <v>0</v>
      </c>
      <c r="L17" s="53">
        <f t="shared" si="11"/>
        <v>14790532.399999999</v>
      </c>
      <c r="M17" s="53">
        <f t="shared" si="11"/>
        <v>3353605.73</v>
      </c>
      <c r="N17" s="53">
        <f t="shared" si="11"/>
        <v>11436926.669999998</v>
      </c>
      <c r="O17" s="53">
        <f t="shared" si="11"/>
        <v>0</v>
      </c>
      <c r="P17" s="53">
        <f>P195</f>
        <v>0</v>
      </c>
      <c r="Q17" s="320">
        <f t="shared" si="11"/>
        <v>11436926.669999998</v>
      </c>
    </row>
    <row r="18" spans="1:25" hidden="1">
      <c r="A18" s="49" t="str">
        <f>A198</f>
        <v>SIERRA FOREST FIRE PROTECTION DIST</v>
      </c>
      <c r="B18" s="48">
        <f t="shared" ref="B18:Q18" si="12">B207</f>
        <v>0</v>
      </c>
      <c r="C18" s="48">
        <f t="shared" si="12"/>
        <v>0</v>
      </c>
      <c r="D18" s="43">
        <f t="shared" si="12"/>
        <v>0</v>
      </c>
      <c r="E18" s="173"/>
      <c r="F18" s="43">
        <f t="shared" si="12"/>
        <v>0</v>
      </c>
      <c r="G18" s="53">
        <f t="shared" si="12"/>
        <v>0</v>
      </c>
      <c r="H18" s="53">
        <f t="shared" si="12"/>
        <v>0</v>
      </c>
      <c r="I18" s="53">
        <f t="shared" si="12"/>
        <v>0</v>
      </c>
      <c r="J18" s="53">
        <f t="shared" si="12"/>
        <v>0</v>
      </c>
      <c r="K18" s="53">
        <f t="shared" si="12"/>
        <v>0</v>
      </c>
      <c r="L18" s="53">
        <f t="shared" si="12"/>
        <v>0</v>
      </c>
      <c r="M18" s="53">
        <f t="shared" si="12"/>
        <v>0</v>
      </c>
      <c r="N18" s="53">
        <f t="shared" si="12"/>
        <v>0</v>
      </c>
      <c r="O18" s="53">
        <f t="shared" si="12"/>
        <v>0</v>
      </c>
      <c r="P18" s="53">
        <f>P207</f>
        <v>0</v>
      </c>
      <c r="Q18" s="320">
        <f t="shared" si="12"/>
        <v>0</v>
      </c>
    </row>
    <row r="19" spans="1:25" s="467" customFormat="1" hidden="1">
      <c r="A19" s="467" t="str">
        <f>A210</f>
        <v>SPARKS RDA #1 - EXPIRED</v>
      </c>
      <c r="B19" s="473"/>
      <c r="C19" s="468"/>
      <c r="D19" s="469"/>
      <c r="E19" s="469"/>
      <c r="F19" s="469">
        <f t="shared" ref="F19:Q19" si="13">F219</f>
        <v>0</v>
      </c>
      <c r="G19" s="470">
        <f t="shared" si="13"/>
        <v>0</v>
      </c>
      <c r="H19" s="470">
        <f t="shared" si="13"/>
        <v>0</v>
      </c>
      <c r="I19" s="470">
        <f t="shared" si="13"/>
        <v>0</v>
      </c>
      <c r="J19" s="470">
        <f t="shared" si="13"/>
        <v>0</v>
      </c>
      <c r="K19" s="470">
        <f t="shared" si="13"/>
        <v>0</v>
      </c>
      <c r="L19" s="470">
        <f t="shared" si="13"/>
        <v>0</v>
      </c>
      <c r="M19" s="470">
        <f t="shared" si="13"/>
        <v>0</v>
      </c>
      <c r="N19" s="470">
        <f t="shared" si="13"/>
        <v>0</v>
      </c>
      <c r="O19" s="470">
        <f t="shared" si="13"/>
        <v>0</v>
      </c>
      <c r="P19" s="470">
        <f>P219</f>
        <v>0</v>
      </c>
      <c r="Q19" s="470">
        <f t="shared" si="13"/>
        <v>0</v>
      </c>
      <c r="T19" s="471"/>
      <c r="W19" s="470">
        <f>SUM(Q16:Q20)</f>
        <v>23995331.019999996</v>
      </c>
      <c r="X19" s="470">
        <f>X14-Q26</f>
        <v>0</v>
      </c>
      <c r="Y19" s="472" t="s">
        <v>372</v>
      </c>
    </row>
    <row r="20" spans="1:25">
      <c r="A20" s="49" t="str">
        <f>A222</f>
        <v>SPARKS RDA #2</v>
      </c>
      <c r="B20" s="48">
        <f t="shared" ref="B20:Q20" si="14">B231</f>
        <v>0</v>
      </c>
      <c r="C20" s="48">
        <f t="shared" si="14"/>
        <v>0</v>
      </c>
      <c r="D20" s="43">
        <f t="shared" si="14"/>
        <v>481</v>
      </c>
      <c r="E20" s="173"/>
      <c r="F20" s="105">
        <f t="shared" si="14"/>
        <v>358006148.77999997</v>
      </c>
      <c r="G20" s="53">
        <f t="shared" si="14"/>
        <v>10514.82</v>
      </c>
      <c r="H20" s="53">
        <f t="shared" si="14"/>
        <v>8001550.9699999997</v>
      </c>
      <c r="I20" s="53">
        <f t="shared" si="14"/>
        <v>0</v>
      </c>
      <c r="J20" s="53">
        <f t="shared" si="14"/>
        <v>498351.3</v>
      </c>
      <c r="K20" s="53">
        <f t="shared" si="14"/>
        <v>477.73</v>
      </c>
      <c r="L20" s="53">
        <f t="shared" si="14"/>
        <v>7514192.2200000007</v>
      </c>
      <c r="M20" s="53">
        <f t="shared" si="14"/>
        <v>418585.5</v>
      </c>
      <c r="N20" s="53">
        <f t="shared" si="14"/>
        <v>7095606.7200000007</v>
      </c>
      <c r="O20" s="53">
        <f t="shared" si="14"/>
        <v>0</v>
      </c>
      <c r="P20" s="53">
        <f>P231</f>
        <v>0</v>
      </c>
      <c r="Q20" s="320">
        <f t="shared" si="14"/>
        <v>7095606.7200000007</v>
      </c>
    </row>
    <row r="21" spans="1:25">
      <c r="A21" s="49" t="str">
        <f>A234</f>
        <v>SUN VALLEY GID</v>
      </c>
      <c r="B21" s="48">
        <f t="shared" ref="B21:O21" si="15">B243</f>
        <v>0.2296</v>
      </c>
      <c r="C21" s="48">
        <f t="shared" si="15"/>
        <v>0</v>
      </c>
      <c r="D21" s="43">
        <f t="shared" si="15"/>
        <v>6382</v>
      </c>
      <c r="E21" s="173"/>
      <c r="F21" s="13">
        <f t="shared" ref="F21:N21" si="16">F243</f>
        <v>482764878.57059234</v>
      </c>
      <c r="G21" s="18">
        <f t="shared" si="16"/>
        <v>75162.912383999996</v>
      </c>
      <c r="H21" s="18">
        <f t="shared" si="16"/>
        <v>1052935.292528</v>
      </c>
      <c r="I21" s="18">
        <f t="shared" si="16"/>
        <v>0</v>
      </c>
      <c r="J21" s="18">
        <f t="shared" si="16"/>
        <v>65526.58</v>
      </c>
      <c r="K21" s="18">
        <f t="shared" si="16"/>
        <v>0</v>
      </c>
      <c r="L21" s="18">
        <f t="shared" si="16"/>
        <v>1062571.624912</v>
      </c>
      <c r="M21" s="18">
        <f t="shared" si="16"/>
        <v>512747.08999999997</v>
      </c>
      <c r="N21" s="503">
        <f t="shared" si="16"/>
        <v>549824.53491200006</v>
      </c>
      <c r="O21" s="53">
        <f t="shared" si="15"/>
        <v>0</v>
      </c>
      <c r="P21" s="53">
        <f>P243</f>
        <v>0</v>
      </c>
      <c r="Q21" s="53">
        <f>Q243</f>
        <v>549824.53491200006</v>
      </c>
    </row>
    <row r="22" spans="1:25">
      <c r="A22" s="49" t="str">
        <f>A246</f>
        <v xml:space="preserve">TRUCKEE MEADOWS FIRE PROTECTION </v>
      </c>
      <c r="B22" s="48">
        <f t="shared" ref="B22:Q22" si="17">B255</f>
        <v>0.54</v>
      </c>
      <c r="C22" s="48">
        <f t="shared" si="17"/>
        <v>0</v>
      </c>
      <c r="D22" s="43">
        <f t="shared" si="17"/>
        <v>47377</v>
      </c>
      <c r="E22" s="173"/>
      <c r="F22" s="43">
        <f t="shared" si="17"/>
        <v>8198455189.4966669</v>
      </c>
      <c r="G22" s="53">
        <f t="shared" si="17"/>
        <v>2791522.0779999997</v>
      </c>
      <c r="H22" s="53">
        <f t="shared" si="17"/>
        <v>42463793.914199993</v>
      </c>
      <c r="I22" s="53">
        <f t="shared" si="17"/>
        <v>0</v>
      </c>
      <c r="J22" s="53">
        <f t="shared" si="17"/>
        <v>3414985.13</v>
      </c>
      <c r="K22" s="53">
        <f t="shared" si="17"/>
        <v>241.17</v>
      </c>
      <c r="L22" s="53">
        <f t="shared" si="17"/>
        <v>41840572.032200001</v>
      </c>
      <c r="M22" s="53">
        <f t="shared" si="17"/>
        <v>9602500.8900000006</v>
      </c>
      <c r="N22" s="53">
        <f t="shared" si="17"/>
        <v>32238071.142199993</v>
      </c>
      <c r="O22" s="53">
        <f t="shared" si="17"/>
        <v>0</v>
      </c>
      <c r="P22" s="53">
        <f>P255</f>
        <v>0</v>
      </c>
      <c r="Q22" s="53">
        <f t="shared" si="17"/>
        <v>32238071.142199993</v>
      </c>
      <c r="X22" s="53">
        <f>X19-O26</f>
        <v>-24412246.289999995</v>
      </c>
      <c r="Y22" s="14" t="s">
        <v>447</v>
      </c>
    </row>
    <row r="23" spans="1:25" hidden="1">
      <c r="A23" s="49" t="str">
        <f>A258</f>
        <v>TRUCKEE MEADOWS UNDERGROUND WATER</v>
      </c>
      <c r="B23" s="48">
        <f t="shared" ref="B23:Q23" si="18">B267</f>
        <v>0</v>
      </c>
      <c r="C23" s="48">
        <f t="shared" si="18"/>
        <v>0</v>
      </c>
      <c r="D23" s="43">
        <f t="shared" si="18"/>
        <v>0</v>
      </c>
      <c r="E23" s="173"/>
      <c r="F23" s="43">
        <f t="shared" si="18"/>
        <v>0</v>
      </c>
      <c r="G23" s="53">
        <f t="shared" si="18"/>
        <v>0</v>
      </c>
      <c r="H23" s="53">
        <f t="shared" si="18"/>
        <v>0</v>
      </c>
      <c r="I23" s="53">
        <f t="shared" si="18"/>
        <v>0</v>
      </c>
      <c r="J23" s="53">
        <f t="shared" si="18"/>
        <v>0</v>
      </c>
      <c r="K23" s="53">
        <f t="shared" si="18"/>
        <v>0</v>
      </c>
      <c r="L23" s="53">
        <f t="shared" si="18"/>
        <v>0</v>
      </c>
      <c r="M23" s="53">
        <f t="shared" si="18"/>
        <v>0</v>
      </c>
      <c r="N23" s="53">
        <f t="shared" si="18"/>
        <v>0</v>
      </c>
      <c r="O23" s="53">
        <f t="shared" si="18"/>
        <v>0</v>
      </c>
      <c r="P23" s="53">
        <f>P267</f>
        <v>0</v>
      </c>
      <c r="Q23" s="53">
        <f t="shared" si="18"/>
        <v>0</v>
      </c>
    </row>
    <row r="24" spans="1:25">
      <c r="A24" s="49" t="str">
        <f>A270</f>
        <v>GERLACH GID</v>
      </c>
      <c r="B24" s="48">
        <f>B279</f>
        <v>0.29980000000000001</v>
      </c>
      <c r="C24" s="48">
        <f>C279</f>
        <v>0</v>
      </c>
      <c r="D24" s="43">
        <f>D279</f>
        <v>195</v>
      </c>
      <c r="E24" s="173"/>
      <c r="F24" s="43">
        <f>F279</f>
        <v>7511655.3697398268</v>
      </c>
      <c r="G24" s="53">
        <f>G279</f>
        <v>1315.1034059999999</v>
      </c>
      <c r="H24" s="53">
        <f t="shared" ref="H24:Q24" si="19">H279</f>
        <v>21204.981312</v>
      </c>
      <c r="I24" s="53">
        <f t="shared" si="19"/>
        <v>0</v>
      </c>
      <c r="J24" s="53">
        <f t="shared" si="19"/>
        <v>5254.62</v>
      </c>
      <c r="K24" s="53">
        <f t="shared" si="19"/>
        <v>0</v>
      </c>
      <c r="L24" s="53">
        <f t="shared" si="19"/>
        <v>17265.464717999999</v>
      </c>
      <c r="M24" s="53">
        <f t="shared" si="19"/>
        <v>2536.14</v>
      </c>
      <c r="N24" s="53">
        <f t="shared" si="19"/>
        <v>14729.324718</v>
      </c>
      <c r="O24" s="53">
        <f t="shared" si="19"/>
        <v>0</v>
      </c>
      <c r="P24" s="53">
        <f t="shared" si="19"/>
        <v>0</v>
      </c>
      <c r="Q24" s="53">
        <f t="shared" si="19"/>
        <v>14729.324718</v>
      </c>
    </row>
    <row r="25" spans="1:25">
      <c r="A25" s="57"/>
      <c r="B25" s="51"/>
      <c r="C25" s="51"/>
      <c r="D25" s="52"/>
      <c r="E25" s="203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25" ht="13.5" thickBot="1">
      <c r="A26" s="57" t="s">
        <v>14</v>
      </c>
      <c r="B26" s="51"/>
      <c r="C26" s="51"/>
      <c r="D26" s="69">
        <f>D7</f>
        <v>192380</v>
      </c>
      <c r="E26" s="204"/>
      <c r="F26" s="69">
        <f>F7</f>
        <v>36303710751.791176</v>
      </c>
      <c r="G26" s="70">
        <f t="shared" ref="G26:Q26" si="20">SUM(G7:G25)</f>
        <v>58464720.952969998</v>
      </c>
      <c r="H26" s="70">
        <f>SUM(H7:H25)</f>
        <v>1267776308.6967518</v>
      </c>
      <c r="I26" s="70">
        <f t="shared" si="20"/>
        <v>0</v>
      </c>
      <c r="J26" s="70">
        <f t="shared" si="20"/>
        <v>141337051.05000001</v>
      </c>
      <c r="K26" s="70">
        <f t="shared" si="20"/>
        <v>6091.83</v>
      </c>
      <c r="L26" s="70">
        <f t="shared" si="20"/>
        <v>1184910070.4297223</v>
      </c>
      <c r="M26" s="70">
        <f t="shared" si="20"/>
        <v>231075628.28999996</v>
      </c>
      <c r="N26" s="70">
        <f t="shared" si="20"/>
        <v>953834442.13972211</v>
      </c>
      <c r="O26" s="70">
        <f t="shared" si="20"/>
        <v>24412246.289999995</v>
      </c>
      <c r="P26" s="70">
        <f t="shared" si="20"/>
        <v>218324.81</v>
      </c>
      <c r="Q26" s="70">
        <f t="shared" si="20"/>
        <v>923881958.07722199</v>
      </c>
    </row>
    <row r="27" spans="1:25" ht="13.5" thickBot="1">
      <c r="A27" s="60"/>
      <c r="B27" s="61"/>
      <c r="C27" s="61"/>
      <c r="D27" s="62"/>
      <c r="E27" s="215"/>
      <c r="F27" s="62"/>
      <c r="G27" s="63"/>
      <c r="H27" s="63"/>
      <c r="I27" s="63"/>
      <c r="J27" s="63"/>
      <c r="K27" s="63"/>
      <c r="L27" s="279" t="s">
        <v>388</v>
      </c>
      <c r="M27" s="280">
        <f>M26/L26</f>
        <v>0.19501532990279805</v>
      </c>
      <c r="N27" s="63"/>
      <c r="O27" s="63"/>
      <c r="P27" s="63"/>
      <c r="Q27" s="63"/>
    </row>
    <row r="28" spans="1:25">
      <c r="A28" s="50"/>
      <c r="B28" s="51"/>
      <c r="C28" s="51"/>
      <c r="D28" s="52"/>
      <c r="E28" s="203"/>
      <c r="F28" s="52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1:25">
      <c r="A29" s="54" t="s">
        <v>11</v>
      </c>
      <c r="B29" s="51"/>
      <c r="C29" s="51"/>
      <c r="D29" s="52"/>
      <c r="E29" s="203"/>
      <c r="F29" s="52"/>
      <c r="G29" s="64">
        <f>G31/B31*100</f>
        <v>66371147.058823518</v>
      </c>
      <c r="H29" s="53"/>
      <c r="I29" s="53"/>
      <c r="J29" s="490">
        <f>J31/0.0017</f>
        <v>3810342376.4705887</v>
      </c>
      <c r="K29" s="53"/>
      <c r="L29" s="53"/>
      <c r="M29" s="53"/>
      <c r="N29" s="53"/>
      <c r="O29" s="53"/>
      <c r="P29" s="53"/>
      <c r="Q29" s="53"/>
    </row>
    <row r="30" spans="1:25">
      <c r="A30" s="47"/>
      <c r="B30" s="48"/>
      <c r="C30" s="48"/>
      <c r="D30" s="43"/>
      <c r="E30" s="65">
        <v>1261970583</v>
      </c>
      <c r="F30" s="4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1:25">
      <c r="A31" s="49" t="s">
        <v>15</v>
      </c>
      <c r="B31" s="48">
        <v>0.17</v>
      </c>
      <c r="C31" s="48">
        <v>0</v>
      </c>
      <c r="D31" s="43">
        <v>192380</v>
      </c>
      <c r="E31" s="173">
        <f>G31/B31*100</f>
        <v>66371147.058823518</v>
      </c>
      <c r="F31" s="43">
        <v>33912234805</v>
      </c>
      <c r="G31" s="53">
        <v>112830.95</v>
      </c>
      <c r="H31" s="53">
        <v>57537986.549999997</v>
      </c>
      <c r="I31" s="53">
        <v>0</v>
      </c>
      <c r="J31" s="53">
        <v>6477582.04</v>
      </c>
      <c r="K31" s="53">
        <v>269.48</v>
      </c>
      <c r="L31" s="53">
        <f>G31+H31+I31-J31+K31</f>
        <v>51173504.939999998</v>
      </c>
      <c r="M31" s="53">
        <v>10651142.68</v>
      </c>
      <c r="N31" s="53">
        <f>L31-M31</f>
        <v>40522362.259999998</v>
      </c>
      <c r="O31" s="53">
        <v>1299752.1599999999</v>
      </c>
      <c r="P31" s="53">
        <v>0</v>
      </c>
      <c r="Q31" s="53">
        <f>N31-O31-P31</f>
        <v>39222610.100000001</v>
      </c>
      <c r="T31" s="450"/>
    </row>
    <row r="32" spans="1:25">
      <c r="A32" s="47" t="s">
        <v>16</v>
      </c>
      <c r="B32" s="48">
        <f>B$31</f>
        <v>0.17</v>
      </c>
      <c r="C32" s="48"/>
      <c r="D32" s="43"/>
      <c r="E32" s="173">
        <v>522803252</v>
      </c>
      <c r="F32" s="65">
        <f>IF(E30&gt;E31,E30-E31,0)</f>
        <v>1195599435.9411764</v>
      </c>
      <c r="G32" s="53">
        <f>F32*(B32-C32)/100</f>
        <v>2032519.0411</v>
      </c>
      <c r="H32" s="53"/>
      <c r="I32" s="53">
        <f>F32*C32/100</f>
        <v>0</v>
      </c>
      <c r="J32" s="53"/>
      <c r="K32" s="53"/>
      <c r="L32" s="53">
        <f>G32+H32+I32-J32+K32</f>
        <v>2032519.0411</v>
      </c>
      <c r="M32" s="53"/>
      <c r="N32" s="53">
        <f>L32-M32</f>
        <v>2032519.0411</v>
      </c>
      <c r="O32" s="53"/>
      <c r="P32" s="53"/>
      <c r="Q32" s="53">
        <f>N32-O32-P32</f>
        <v>2032519.0411</v>
      </c>
      <c r="T32" s="450"/>
    </row>
    <row r="33" spans="1:23">
      <c r="A33" s="47" t="s">
        <v>17</v>
      </c>
      <c r="B33" s="48">
        <f>B$31</f>
        <v>0.17</v>
      </c>
      <c r="C33" s="48"/>
      <c r="D33" s="43"/>
      <c r="E33" s="173"/>
      <c r="F33" s="66">
        <v>709588395</v>
      </c>
      <c r="G33" s="53"/>
      <c r="H33" s="53">
        <f>F33*(B33-C33)/100</f>
        <v>1206300.2715</v>
      </c>
      <c r="I33" s="53">
        <f>F33*C33/100</f>
        <v>0</v>
      </c>
      <c r="J33" s="53">
        <v>0</v>
      </c>
      <c r="K33" s="53">
        <v>0</v>
      </c>
      <c r="L33" s="53">
        <f>G33+H33+I33-J33+K33</f>
        <v>1206300.2715</v>
      </c>
      <c r="M33" s="53">
        <v>0</v>
      </c>
      <c r="N33" s="53">
        <f>L33-M33</f>
        <v>1206300.2715</v>
      </c>
      <c r="O33" s="53">
        <v>0</v>
      </c>
      <c r="P33" s="53">
        <v>0</v>
      </c>
      <c r="Q33" s="53">
        <f>N33-O33-P33</f>
        <v>1206300.2715</v>
      </c>
      <c r="T33" s="450"/>
    </row>
    <row r="34" spans="1:23">
      <c r="A34" s="47" t="s">
        <v>18</v>
      </c>
      <c r="B34" s="48"/>
      <c r="C34" s="48"/>
      <c r="D34" s="43"/>
      <c r="E34" s="173"/>
      <c r="F34" s="4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T34" s="450"/>
    </row>
    <row r="35" spans="1:23">
      <c r="A35" s="67" t="s">
        <v>19</v>
      </c>
      <c r="B35" s="48">
        <f>B31</f>
        <v>0.17</v>
      </c>
      <c r="C35" s="48">
        <f>C31</f>
        <v>0</v>
      </c>
      <c r="D35" s="43"/>
      <c r="E35" s="173"/>
      <c r="F35" s="43">
        <v>431970855.95999998</v>
      </c>
      <c r="G35" s="53">
        <v>604750</v>
      </c>
      <c r="H35" s="53">
        <v>172920.31</v>
      </c>
      <c r="I35" s="53">
        <v>0</v>
      </c>
      <c r="J35" s="53">
        <v>43319.839999999997</v>
      </c>
      <c r="K35" s="53">
        <v>0</v>
      </c>
      <c r="L35" s="53">
        <f>G35+H35+I35-J35+K35</f>
        <v>734350.47000000009</v>
      </c>
      <c r="M35" s="53">
        <v>20913.57</v>
      </c>
      <c r="N35" s="53">
        <f>L35-M35</f>
        <v>713436.90000000014</v>
      </c>
      <c r="O35" s="53">
        <v>0</v>
      </c>
      <c r="P35" s="53">
        <v>13745.36</v>
      </c>
      <c r="Q35" s="53">
        <f>N35-O35-P35</f>
        <v>699691.54000000015</v>
      </c>
      <c r="U35" s="266"/>
      <c r="V35" s="266"/>
      <c r="W35" s="266"/>
    </row>
    <row r="36" spans="1:23">
      <c r="A36" s="67" t="s">
        <v>20</v>
      </c>
      <c r="B36" s="48">
        <f>B$31</f>
        <v>0.17</v>
      </c>
      <c r="C36" s="48"/>
      <c r="D36" s="43"/>
      <c r="E36" s="173"/>
      <c r="F36" s="43">
        <v>54317259.890000001</v>
      </c>
      <c r="G36" s="53">
        <v>89085.73</v>
      </c>
      <c r="H36" s="53">
        <v>3252.97</v>
      </c>
      <c r="I36" s="53">
        <v>0</v>
      </c>
      <c r="J36" s="53">
        <v>0</v>
      </c>
      <c r="K36" s="53">
        <v>0</v>
      </c>
      <c r="L36" s="53">
        <f>G36+H36+I36-J36+K36</f>
        <v>92338.7</v>
      </c>
      <c r="M36" s="53">
        <v>1.43</v>
      </c>
      <c r="N36" s="53">
        <f>L36-M36</f>
        <v>92337.27</v>
      </c>
      <c r="O36" s="53">
        <v>0</v>
      </c>
      <c r="P36" s="53">
        <v>0</v>
      </c>
      <c r="Q36" s="53">
        <f>N36-O36-P36</f>
        <v>92337.27</v>
      </c>
      <c r="T36" s="450"/>
    </row>
    <row r="37" spans="1:23">
      <c r="A37" s="47"/>
      <c r="B37" s="48"/>
      <c r="C37" s="48"/>
      <c r="D37" s="43"/>
      <c r="E37" s="173"/>
      <c r="F37" s="4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</row>
    <row r="38" spans="1:23" s="50" customFormat="1" ht="13.5" thickBot="1">
      <c r="A38" s="60" t="str">
        <f>"TOTAL "&amp;A29</f>
        <v>TOTAL STATE OF NEVADA</v>
      </c>
      <c r="B38" s="68">
        <f>B31</f>
        <v>0.17</v>
      </c>
      <c r="C38" s="68">
        <f>C31</f>
        <v>0</v>
      </c>
      <c r="D38" s="69">
        <f t="shared" ref="D38:Q38" si="21">SUM(D31:D33,D35:D36)</f>
        <v>192380</v>
      </c>
      <c r="E38" s="204"/>
      <c r="F38" s="69">
        <f t="shared" si="21"/>
        <v>36303710751.791176</v>
      </c>
      <c r="G38" s="70">
        <f t="shared" si="21"/>
        <v>2839185.7211000002</v>
      </c>
      <c r="H38" s="70">
        <f t="shared" si="21"/>
        <v>58920460.101499997</v>
      </c>
      <c r="I38" s="70">
        <f t="shared" si="21"/>
        <v>0</v>
      </c>
      <c r="J38" s="70">
        <f t="shared" si="21"/>
        <v>6520901.8799999999</v>
      </c>
      <c r="K38" s="70">
        <f t="shared" si="21"/>
        <v>269.48</v>
      </c>
      <c r="L38" s="70">
        <f t="shared" si="21"/>
        <v>55239013.422600001</v>
      </c>
      <c r="M38" s="70">
        <f t="shared" si="21"/>
        <v>10672057.68</v>
      </c>
      <c r="N38" s="70">
        <f t="shared" si="21"/>
        <v>44566955.742600001</v>
      </c>
      <c r="O38" s="70">
        <f t="shared" si="21"/>
        <v>1299752.1599999999</v>
      </c>
      <c r="P38" s="70">
        <f t="shared" si="21"/>
        <v>13745.36</v>
      </c>
      <c r="Q38" s="70">
        <f t="shared" si="21"/>
        <v>43253458.222600006</v>
      </c>
      <c r="T38" s="451"/>
    </row>
    <row r="39" spans="1:23">
      <c r="A39" s="150" t="s">
        <v>355</v>
      </c>
      <c r="B39" s="48"/>
      <c r="C39" s="48"/>
      <c r="D39" s="43"/>
      <c r="E39" s="173"/>
      <c r="F39" s="64">
        <v>32332547782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T39" s="450"/>
    </row>
    <row r="40" spans="1:23">
      <c r="A40" s="151" t="s">
        <v>30</v>
      </c>
      <c r="B40" s="51"/>
      <c r="C40" s="51"/>
      <c r="D40" s="52"/>
      <c r="E40" s="203"/>
      <c r="F40" s="152">
        <f>(F38-ROUND(J31/B38*100,0))-F39</f>
        <v>160820593.79117584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T40" s="450"/>
      <c r="U40" s="266" t="s">
        <v>378</v>
      </c>
      <c r="V40" s="266" t="s">
        <v>384</v>
      </c>
      <c r="W40" s="266" t="s">
        <v>227</v>
      </c>
    </row>
    <row r="41" spans="1:23">
      <c r="A41" s="54" t="s">
        <v>12</v>
      </c>
      <c r="B41" s="48"/>
      <c r="C41" s="48"/>
      <c r="D41" s="43"/>
      <c r="E41" s="173"/>
      <c r="F41" s="43"/>
      <c r="G41" s="64"/>
      <c r="H41" s="53"/>
      <c r="I41" s="53"/>
      <c r="J41" s="81"/>
      <c r="K41" s="53"/>
      <c r="L41" s="53"/>
      <c r="M41" s="53"/>
      <c r="N41" s="53"/>
      <c r="O41" s="53"/>
      <c r="P41" s="53"/>
      <c r="Q41" s="53"/>
      <c r="U41" s="266" t="s">
        <v>379</v>
      </c>
      <c r="V41" s="266" t="s">
        <v>385</v>
      </c>
      <c r="W41" s="266" t="s">
        <v>382</v>
      </c>
    </row>
    <row r="42" spans="1:23">
      <c r="A42" s="47"/>
      <c r="B42" s="48"/>
      <c r="C42" s="48"/>
      <c r="D42" s="43"/>
      <c r="E42" s="173"/>
      <c r="F42" s="463">
        <f>(G59+H59)/B59*100</f>
        <v>33912247220.665371</v>
      </c>
      <c r="G42" s="463"/>
      <c r="H42" s="463">
        <f>F42-J42</f>
        <v>30101906150.750877</v>
      </c>
      <c r="I42" s="463"/>
      <c r="J42" s="463">
        <f>J59/B59*100</f>
        <v>3810341069.9144931</v>
      </c>
      <c r="K42" s="53"/>
      <c r="L42" s="53"/>
      <c r="M42" s="53"/>
      <c r="N42" s="53"/>
      <c r="O42" s="53"/>
      <c r="P42" s="53"/>
      <c r="Q42" s="53"/>
      <c r="U42" s="266"/>
      <c r="V42" s="266" t="s">
        <v>381</v>
      </c>
      <c r="W42" s="266" t="s">
        <v>383</v>
      </c>
    </row>
    <row r="43" spans="1:23">
      <c r="A43" s="49" t="s">
        <v>15</v>
      </c>
      <c r="B43" s="550"/>
      <c r="C43" s="48"/>
      <c r="D43" s="43"/>
      <c r="E43" s="173"/>
      <c r="F43" s="4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U43" s="266"/>
      <c r="V43" s="266"/>
      <c r="W43" s="266"/>
    </row>
    <row r="44" spans="1:23">
      <c r="A44" s="49" t="s">
        <v>240</v>
      </c>
      <c r="B44" s="550">
        <v>2.7199999999999998E-2</v>
      </c>
      <c r="C44" s="48">
        <v>0</v>
      </c>
      <c r="D44" s="43">
        <v>192380</v>
      </c>
      <c r="E44" s="173"/>
      <c r="F44" s="43">
        <v>33912234805</v>
      </c>
      <c r="G44" s="53">
        <v>18052.09</v>
      </c>
      <c r="H44" s="53">
        <v>9206076.4399999995</v>
      </c>
      <c r="I44" s="53">
        <v>0</v>
      </c>
      <c r="J44" s="53">
        <v>1036421.44</v>
      </c>
      <c r="K44" s="53">
        <v>43.11</v>
      </c>
      <c r="L44" s="53">
        <f>G44+H44+I44-J44+K44</f>
        <v>8187750.2000000002</v>
      </c>
      <c r="M44" s="53">
        <v>1704182.66</v>
      </c>
      <c r="N44" s="53">
        <f>L44-M44</f>
        <v>6483567.54</v>
      </c>
      <c r="O44" s="53">
        <v>0</v>
      </c>
      <c r="P44" s="53">
        <v>0</v>
      </c>
      <c r="Q44" s="53">
        <f>N44-O44-P44</f>
        <v>6483567.54</v>
      </c>
      <c r="U44" s="267">
        <f>B44/$B$59</f>
        <v>1.9544442049292229E-2</v>
      </c>
      <c r="V44" s="153">
        <f>$U$62*U44</f>
        <v>641279.32628703548</v>
      </c>
      <c r="W44" s="153">
        <f>Q44+V44</f>
        <v>7124846.8662870359</v>
      </c>
    </row>
    <row r="45" spans="1:23">
      <c r="A45" s="49" t="s">
        <v>241</v>
      </c>
      <c r="B45" s="550">
        <v>0.01</v>
      </c>
      <c r="C45" s="48"/>
      <c r="D45" s="43">
        <v>192380</v>
      </c>
      <c r="E45" s="173"/>
      <c r="F45" s="43">
        <v>33912234805</v>
      </c>
      <c r="G45" s="53">
        <v>6637.14</v>
      </c>
      <c r="H45" s="53">
        <v>3384621.47</v>
      </c>
      <c r="I45" s="53">
        <v>0</v>
      </c>
      <c r="J45" s="53">
        <v>381025.38</v>
      </c>
      <c r="K45" s="53">
        <v>15.84</v>
      </c>
      <c r="L45" s="53">
        <f t="shared" ref="L45:L57" si="22">G45+H45+I45-J45+K45</f>
        <v>3010249.0700000003</v>
      </c>
      <c r="M45" s="53">
        <v>626533.74</v>
      </c>
      <c r="N45" s="53">
        <f t="shared" ref="N45:N57" si="23">L45-M45</f>
        <v>2383715.33</v>
      </c>
      <c r="O45" s="53">
        <v>80331.61</v>
      </c>
      <c r="P45" s="53">
        <v>0</v>
      </c>
      <c r="Q45" s="53">
        <f t="shared" ref="Q45:Q57" si="24">N45-O45-P45</f>
        <v>2303383.7200000002</v>
      </c>
      <c r="U45" s="267">
        <f t="shared" ref="U45:U55" si="25">B45/$B$59</f>
        <v>7.1854566357692027E-3</v>
      </c>
      <c r="V45" s="153">
        <f t="shared" ref="V45:V55" si="26">$U$62*U45</f>
        <v>235764.45819376304</v>
      </c>
      <c r="W45" s="153">
        <f t="shared" ref="W45:W55" si="27">Q45+V45</f>
        <v>2539148.1781937634</v>
      </c>
    </row>
    <row r="46" spans="1:23">
      <c r="A46" s="49" t="s">
        <v>242</v>
      </c>
      <c r="B46" s="550">
        <v>0.03</v>
      </c>
      <c r="C46" s="48"/>
      <c r="D46" s="43">
        <v>192380</v>
      </c>
      <c r="E46" s="173"/>
      <c r="F46" s="43">
        <v>33912234805</v>
      </c>
      <c r="G46" s="53">
        <v>19911.740000000002</v>
      </c>
      <c r="H46" s="53">
        <v>10153783.460000001</v>
      </c>
      <c r="I46" s="53">
        <v>0</v>
      </c>
      <c r="J46" s="53">
        <v>1143104.95</v>
      </c>
      <c r="K46" s="53">
        <v>47.54</v>
      </c>
      <c r="L46" s="53">
        <f t="shared" si="22"/>
        <v>9030637.790000001</v>
      </c>
      <c r="M46" s="53">
        <v>1879612.98</v>
      </c>
      <c r="N46" s="53">
        <f t="shared" si="23"/>
        <v>7151024.8100000005</v>
      </c>
      <c r="O46" s="53">
        <v>0</v>
      </c>
      <c r="P46" s="53">
        <v>0</v>
      </c>
      <c r="Q46" s="53">
        <f t="shared" si="24"/>
        <v>7151024.8100000005</v>
      </c>
      <c r="U46" s="267">
        <f t="shared" si="25"/>
        <v>2.1556369907307606E-2</v>
      </c>
      <c r="V46" s="153">
        <f t="shared" si="26"/>
        <v>707293.37458128913</v>
      </c>
      <c r="W46" s="153">
        <f>Q46+V46</f>
        <v>7858318.18458129</v>
      </c>
    </row>
    <row r="47" spans="1:23">
      <c r="A47" s="49" t="s">
        <v>243</v>
      </c>
      <c r="B47" s="550">
        <v>0.05</v>
      </c>
      <c r="C47" s="48"/>
      <c r="D47" s="43">
        <v>192380</v>
      </c>
      <c r="E47" s="173"/>
      <c r="F47" s="43">
        <v>33912234805</v>
      </c>
      <c r="G47" s="53">
        <v>33191.07</v>
      </c>
      <c r="H47" s="53">
        <v>16922994.530000001</v>
      </c>
      <c r="I47" s="53">
        <v>0</v>
      </c>
      <c r="J47" s="53">
        <v>1905175.48</v>
      </c>
      <c r="K47" s="53">
        <v>79.239999999999995</v>
      </c>
      <c r="L47" s="53">
        <f t="shared" si="22"/>
        <v>15051089.360000001</v>
      </c>
      <c r="M47" s="53">
        <v>3132688.6</v>
      </c>
      <c r="N47" s="53">
        <f>L47-M47</f>
        <v>11918400.760000002</v>
      </c>
      <c r="O47" s="53">
        <v>401657.19</v>
      </c>
      <c r="P47" s="53">
        <v>0</v>
      </c>
      <c r="Q47" s="53">
        <f t="shared" si="24"/>
        <v>11516743.570000002</v>
      </c>
      <c r="U47" s="267">
        <f t="shared" si="25"/>
        <v>3.5927283178846012E-2</v>
      </c>
      <c r="V47" s="153">
        <f t="shared" si="26"/>
        <v>1178822.2909688153</v>
      </c>
      <c r="W47" s="153">
        <f t="shared" si="27"/>
        <v>12695565.860968817</v>
      </c>
    </row>
    <row r="48" spans="1:23">
      <c r="A48" s="49" t="s">
        <v>244</v>
      </c>
      <c r="B48" s="550">
        <v>0.04</v>
      </c>
      <c r="C48" s="48"/>
      <c r="D48" s="43">
        <v>192380</v>
      </c>
      <c r="E48" s="173"/>
      <c r="F48" s="43">
        <v>33912234805</v>
      </c>
      <c r="G48" s="53">
        <v>26548.68</v>
      </c>
      <c r="H48" s="53">
        <v>13538345.720000001</v>
      </c>
      <c r="I48" s="53">
        <v>0</v>
      </c>
      <c r="J48" s="53">
        <v>1524149.5</v>
      </c>
      <c r="K48" s="53">
        <v>63.39</v>
      </c>
      <c r="L48" s="53">
        <f t="shared" si="22"/>
        <v>12040808.290000001</v>
      </c>
      <c r="M48" s="53">
        <v>2506151.79</v>
      </c>
      <c r="N48" s="53">
        <f t="shared" si="23"/>
        <v>9534656.5</v>
      </c>
      <c r="O48" s="53">
        <v>321321.75</v>
      </c>
      <c r="P48" s="53">
        <v>0</v>
      </c>
      <c r="Q48" s="53">
        <f t="shared" si="24"/>
        <v>9213334.75</v>
      </c>
      <c r="U48" s="267">
        <f t="shared" si="25"/>
        <v>2.8741826543076811E-2</v>
      </c>
      <c r="V48" s="153">
        <f t="shared" si="26"/>
        <v>943057.83277505217</v>
      </c>
      <c r="W48" s="153">
        <f t="shared" si="27"/>
        <v>10156392.582775053</v>
      </c>
    </row>
    <row r="49" spans="1:23">
      <c r="A49" s="49" t="s">
        <v>245</v>
      </c>
      <c r="B49" s="550">
        <v>1.0416000000000001</v>
      </c>
      <c r="C49" s="48"/>
      <c r="D49" s="43">
        <v>192380</v>
      </c>
      <c r="E49" s="173"/>
      <c r="F49" s="43">
        <v>33912234805</v>
      </c>
      <c r="G49" s="53">
        <v>690728.45</v>
      </c>
      <c r="H49" s="53">
        <v>352233899.42000002</v>
      </c>
      <c r="I49" s="53">
        <v>0</v>
      </c>
      <c r="J49" s="53">
        <v>39654191.270000003</v>
      </c>
      <c r="K49" s="53">
        <v>1649.65</v>
      </c>
      <c r="L49" s="53">
        <f t="shared" ref="L49" si="28">G49+H49+I49-J49+K49</f>
        <v>313272086.25</v>
      </c>
      <c r="M49" s="53">
        <v>65203802.899999999</v>
      </c>
      <c r="N49" s="53">
        <f t="shared" ref="N49" si="29">L49-M49</f>
        <v>248068283.34999999</v>
      </c>
      <c r="O49" s="53">
        <v>8360007.5599999996</v>
      </c>
      <c r="P49" s="53">
        <v>0</v>
      </c>
      <c r="Q49" s="53">
        <f t="shared" ref="Q49" si="30">N49-O49-P49</f>
        <v>239708275.78999999</v>
      </c>
      <c r="U49" s="267">
        <f t="shared" si="25"/>
        <v>0.74843716318172016</v>
      </c>
      <c r="V49" s="153">
        <f t="shared" si="26"/>
        <v>24557225.965462361</v>
      </c>
      <c r="W49" s="153">
        <f t="shared" si="27"/>
        <v>264265501.75546235</v>
      </c>
    </row>
    <row r="50" spans="1:23">
      <c r="A50" s="49" t="s">
        <v>246</v>
      </c>
      <c r="B50" s="550">
        <v>1.9199999999999998E-2</v>
      </c>
      <c r="C50" s="48"/>
      <c r="D50" s="43">
        <v>192380</v>
      </c>
      <c r="E50" s="173"/>
      <c r="F50" s="43">
        <v>33912234805</v>
      </c>
      <c r="G50" s="53">
        <v>12745.55</v>
      </c>
      <c r="H50" s="53">
        <v>6498396.4900000002</v>
      </c>
      <c r="I50" s="53">
        <v>0</v>
      </c>
      <c r="J50" s="53">
        <v>731588.03</v>
      </c>
      <c r="K50" s="53">
        <v>30.44</v>
      </c>
      <c r="L50" s="53">
        <f t="shared" si="22"/>
        <v>5779584.4500000002</v>
      </c>
      <c r="M50" s="53">
        <v>1202955.25</v>
      </c>
      <c r="N50" s="53">
        <f t="shared" si="23"/>
        <v>4576629.2</v>
      </c>
      <c r="O50" s="53">
        <v>154230.85</v>
      </c>
      <c r="P50" s="53">
        <v>0</v>
      </c>
      <c r="Q50" s="53">
        <f t="shared" si="24"/>
        <v>4422398.3500000006</v>
      </c>
      <c r="U50" s="267">
        <f t="shared" si="25"/>
        <v>1.3796076740676868E-2</v>
      </c>
      <c r="V50" s="153">
        <f t="shared" si="26"/>
        <v>452667.75973202504</v>
      </c>
      <c r="W50" s="153">
        <f t="shared" si="27"/>
        <v>4875066.1097320253</v>
      </c>
    </row>
    <row r="51" spans="1:23">
      <c r="A51" s="49" t="s">
        <v>247</v>
      </c>
      <c r="B51" s="550">
        <v>0.06</v>
      </c>
      <c r="C51" s="48"/>
      <c r="D51" s="43">
        <v>192380</v>
      </c>
      <c r="E51" s="173"/>
      <c r="F51" s="43">
        <v>33912234805</v>
      </c>
      <c r="G51" s="53">
        <v>39824.660000000003</v>
      </c>
      <c r="H51" s="53">
        <v>20307535.329999998</v>
      </c>
      <c r="I51" s="53">
        <v>0</v>
      </c>
      <c r="J51" s="53">
        <v>2286191.2599999998</v>
      </c>
      <c r="K51" s="53">
        <v>95.1</v>
      </c>
      <c r="L51" s="53">
        <f t="shared" si="22"/>
        <v>18061263.829999998</v>
      </c>
      <c r="M51" s="53">
        <v>3759230.28</v>
      </c>
      <c r="N51" s="53">
        <f t="shared" si="23"/>
        <v>14302033.549999999</v>
      </c>
      <c r="O51" s="53">
        <v>481981.62</v>
      </c>
      <c r="P51" s="53">
        <v>0</v>
      </c>
      <c r="Q51" s="53">
        <f t="shared" si="24"/>
        <v>13820051.93</v>
      </c>
      <c r="U51" s="267">
        <f t="shared" si="25"/>
        <v>4.3112739814615213E-2</v>
      </c>
      <c r="V51" s="153">
        <f t="shared" si="26"/>
        <v>1414586.7491625783</v>
      </c>
      <c r="W51" s="153">
        <f t="shared" si="27"/>
        <v>15234638.679162579</v>
      </c>
    </row>
    <row r="52" spans="1:23">
      <c r="A52" s="49" t="s">
        <v>248</v>
      </c>
      <c r="B52" s="550">
        <v>1.4999999999999999E-2</v>
      </c>
      <c r="C52" s="48"/>
      <c r="D52" s="43">
        <v>192380</v>
      </c>
      <c r="E52" s="173"/>
      <c r="F52" s="43">
        <v>33912234805</v>
      </c>
      <c r="G52" s="53">
        <v>9953.4599999999991</v>
      </c>
      <c r="H52" s="53">
        <v>5076889.2699999996</v>
      </c>
      <c r="I52" s="53">
        <v>0</v>
      </c>
      <c r="J52" s="53">
        <v>571562.16</v>
      </c>
      <c r="K52" s="53">
        <v>23.8</v>
      </c>
      <c r="L52" s="53">
        <f t="shared" si="22"/>
        <v>4515304.3699999992</v>
      </c>
      <c r="M52" s="53">
        <v>939807.16</v>
      </c>
      <c r="N52" s="53">
        <f t="shared" si="23"/>
        <v>3575497.209999999</v>
      </c>
      <c r="O52" s="53">
        <v>120495.24</v>
      </c>
      <c r="P52" s="53">
        <v>0</v>
      </c>
      <c r="Q52" s="53">
        <f t="shared" si="24"/>
        <v>3455001.9699999988</v>
      </c>
      <c r="U52" s="267">
        <f t="shared" si="25"/>
        <v>1.0778184953653803E-2</v>
      </c>
      <c r="V52" s="153">
        <f t="shared" si="26"/>
        <v>353646.68729064456</v>
      </c>
      <c r="W52" s="153">
        <f t="shared" si="27"/>
        <v>3808648.6572906435</v>
      </c>
    </row>
    <row r="53" spans="1:23">
      <c r="A53" s="49" t="s">
        <v>249</v>
      </c>
      <c r="B53" s="550">
        <v>0</v>
      </c>
      <c r="C53" s="48"/>
      <c r="D53" s="43"/>
      <c r="E53" s="173"/>
      <c r="F53" s="4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>
        <f t="shared" si="24"/>
        <v>0</v>
      </c>
      <c r="U53" s="267">
        <f t="shared" si="25"/>
        <v>0</v>
      </c>
      <c r="V53" s="153">
        <f t="shared" si="26"/>
        <v>0</v>
      </c>
      <c r="W53" s="153">
        <f t="shared" si="27"/>
        <v>0</v>
      </c>
    </row>
    <row r="54" spans="1:23">
      <c r="A54" s="49" t="s">
        <v>250</v>
      </c>
      <c r="B54" s="550">
        <v>0.01</v>
      </c>
      <c r="C54" s="48"/>
      <c r="D54" s="43">
        <v>192380</v>
      </c>
      <c r="E54" s="173"/>
      <c r="F54" s="43">
        <v>33912234805</v>
      </c>
      <c r="G54" s="53">
        <v>6637.14</v>
      </c>
      <c r="H54" s="53">
        <v>3384621.47</v>
      </c>
      <c r="I54" s="53">
        <v>0</v>
      </c>
      <c r="J54" s="53">
        <v>381025.38</v>
      </c>
      <c r="K54" s="53">
        <v>15.84</v>
      </c>
      <c r="L54" s="53">
        <f t="shared" ref="L54" si="31">G54+H54+I54-J54+K54</f>
        <v>3010249.0700000003</v>
      </c>
      <c r="M54" s="53">
        <v>626533.74</v>
      </c>
      <c r="N54" s="53">
        <f t="shared" ref="N54" si="32">L54-M54</f>
        <v>2383715.33</v>
      </c>
      <c r="O54" s="53">
        <v>80331.61</v>
      </c>
      <c r="P54" s="53">
        <v>0</v>
      </c>
      <c r="Q54" s="53">
        <f t="shared" ref="Q54" si="33">N54-O54-P54</f>
        <v>2303383.7200000002</v>
      </c>
      <c r="U54" s="267">
        <f t="shared" si="25"/>
        <v>7.1854566357692027E-3</v>
      </c>
      <c r="V54" s="153">
        <f t="shared" si="26"/>
        <v>235764.45819376304</v>
      </c>
      <c r="W54" s="153">
        <f t="shared" si="27"/>
        <v>2539148.1781937634</v>
      </c>
    </row>
    <row r="55" spans="1:23">
      <c r="A55" s="49" t="s">
        <v>251</v>
      </c>
      <c r="B55" s="550">
        <v>7.7399999999999997E-2</v>
      </c>
      <c r="C55" s="48"/>
      <c r="D55" s="43">
        <v>192380</v>
      </c>
      <c r="E55" s="173"/>
      <c r="F55" s="43">
        <v>33912234805</v>
      </c>
      <c r="G55" s="53">
        <v>51369.83</v>
      </c>
      <c r="H55" s="53">
        <v>26196698.43</v>
      </c>
      <c r="I55" s="53">
        <v>0</v>
      </c>
      <c r="J55" s="53">
        <v>2949210.66</v>
      </c>
      <c r="K55" s="53">
        <v>122.66</v>
      </c>
      <c r="L55" s="53">
        <f t="shared" si="22"/>
        <v>23298980.259999998</v>
      </c>
      <c r="M55" s="53">
        <v>4849405.49</v>
      </c>
      <c r="N55" s="53">
        <f t="shared" si="23"/>
        <v>18449574.769999996</v>
      </c>
      <c r="O55" s="53">
        <v>621758.59</v>
      </c>
      <c r="P55" s="53">
        <v>0</v>
      </c>
      <c r="Q55" s="53">
        <f t="shared" si="24"/>
        <v>17827816.179999996</v>
      </c>
      <c r="U55" s="267">
        <f t="shared" si="25"/>
        <v>5.5615434360853623E-2</v>
      </c>
      <c r="V55" s="153">
        <f t="shared" si="26"/>
        <v>1824816.9064197259</v>
      </c>
      <c r="W55" s="153">
        <f t="shared" si="27"/>
        <v>19652633.08641972</v>
      </c>
    </row>
    <row r="56" spans="1:23">
      <c r="A56" s="49" t="s">
        <v>252</v>
      </c>
      <c r="B56" s="550">
        <v>5.5999999999999999E-3</v>
      </c>
      <c r="C56" s="48"/>
      <c r="D56" s="43">
        <v>192380</v>
      </c>
      <c r="E56" s="173"/>
      <c r="F56" s="43">
        <v>33912234805</v>
      </c>
      <c r="G56" s="53">
        <v>4313.3500000000004</v>
      </c>
      <c r="H56" s="53">
        <v>2199973.96</v>
      </c>
      <c r="I56" s="53">
        <v>0</v>
      </c>
      <c r="J56" s="53">
        <v>247682.9</v>
      </c>
      <c r="K56" s="53">
        <v>10.31</v>
      </c>
      <c r="L56" s="53">
        <f t="shared" si="22"/>
        <v>1956614.7200000002</v>
      </c>
      <c r="M56" s="53">
        <v>407249.31</v>
      </c>
      <c r="N56" s="53">
        <f t="shared" si="23"/>
        <v>1549365.4100000001</v>
      </c>
      <c r="O56" s="53">
        <v>52215.91</v>
      </c>
      <c r="P56" s="53">
        <v>0</v>
      </c>
      <c r="Q56" s="53">
        <f t="shared" si="24"/>
        <v>1497149.5000000002</v>
      </c>
      <c r="U56" s="267">
        <f t="shared" ref="U56:U57" si="34">B56/$B$59</f>
        <v>4.0238557160307536E-3</v>
      </c>
      <c r="V56" s="153">
        <f t="shared" ref="V56:V57" si="35">$U$62*U56</f>
        <v>132028.09658850732</v>
      </c>
      <c r="W56" s="153">
        <f t="shared" ref="W56:W57" si="36">Q56+V56</f>
        <v>1629177.5965885075</v>
      </c>
    </row>
    <row r="57" spans="1:23">
      <c r="A57" s="49" t="s">
        <v>253</v>
      </c>
      <c r="B57" s="550">
        <v>5.7000000000000002E-3</v>
      </c>
      <c r="C57" s="48"/>
      <c r="D57" s="43">
        <v>192380</v>
      </c>
      <c r="E57" s="173"/>
      <c r="F57" s="43">
        <v>33912234805</v>
      </c>
      <c r="G57" s="53">
        <v>3781.46</v>
      </c>
      <c r="H57" s="53">
        <v>1929213.96</v>
      </c>
      <c r="I57" s="53">
        <v>0</v>
      </c>
      <c r="J57" s="53">
        <v>217188.26</v>
      </c>
      <c r="K57" s="53">
        <v>9.06</v>
      </c>
      <c r="L57" s="53">
        <f t="shared" si="22"/>
        <v>1715816.22</v>
      </c>
      <c r="M57" s="53">
        <v>357127.32</v>
      </c>
      <c r="N57" s="53">
        <f t="shared" si="23"/>
        <v>1358688.9</v>
      </c>
      <c r="O57" s="53">
        <v>0</v>
      </c>
      <c r="P57" s="53">
        <v>0</v>
      </c>
      <c r="Q57" s="53">
        <f t="shared" si="24"/>
        <v>1358688.9</v>
      </c>
      <c r="U57" s="267">
        <f t="shared" si="34"/>
        <v>4.0957102823884458E-3</v>
      </c>
      <c r="V57" s="153">
        <f t="shared" si="35"/>
        <v>134385.74117044496</v>
      </c>
      <c r="W57" s="153">
        <f t="shared" si="36"/>
        <v>1493074.6411704449</v>
      </c>
    </row>
    <row r="58" spans="1:23" s="50" customFormat="1">
      <c r="A58" s="71"/>
      <c r="B58" s="51"/>
      <c r="C58" s="51"/>
      <c r="D58" s="52"/>
      <c r="E58" s="65">
        <v>1261970583</v>
      </c>
      <c r="F58" s="52"/>
      <c r="G58" s="59"/>
      <c r="H58" s="59"/>
      <c r="I58" s="59"/>
      <c r="J58" s="95"/>
      <c r="K58" s="59"/>
      <c r="L58" s="59"/>
      <c r="M58" s="59"/>
      <c r="N58" s="59"/>
      <c r="O58" s="59"/>
      <c r="P58" s="59"/>
      <c r="Q58" s="59"/>
      <c r="T58" s="451"/>
      <c r="U58" s="267">
        <f>SUM(U44:U57)</f>
        <v>0.99999999999999967</v>
      </c>
      <c r="V58" s="153">
        <f>SUM(V44:V57)</f>
        <v>32811339.646826003</v>
      </c>
      <c r="W58" s="153">
        <f>SUM(W44:W57)</f>
        <v>353872160.37682593</v>
      </c>
    </row>
    <row r="59" spans="1:23">
      <c r="A59" s="71" t="s">
        <v>26</v>
      </c>
      <c r="B59" s="48">
        <f>SUM(B44:B58)</f>
        <v>1.3917000000000002</v>
      </c>
      <c r="C59" s="48">
        <f>-SUM(C44:C58)</f>
        <v>0</v>
      </c>
      <c r="D59" s="72">
        <f>D44</f>
        <v>192380</v>
      </c>
      <c r="E59" s="208">
        <f>G59/B59*100</f>
        <v>66371676.367033109</v>
      </c>
      <c r="F59" s="72">
        <f>F44</f>
        <v>33912234805</v>
      </c>
      <c r="G59" s="73">
        <f>SUM(G44:G57)</f>
        <v>923694.61999999988</v>
      </c>
      <c r="H59" s="73">
        <f t="shared" ref="H59:O59" si="37">SUM(H44:H57)</f>
        <v>471033049.94999999</v>
      </c>
      <c r="I59" s="73">
        <f t="shared" si="37"/>
        <v>0</v>
      </c>
      <c r="J59" s="73">
        <f t="shared" si="37"/>
        <v>53028516.670000002</v>
      </c>
      <c r="K59" s="73">
        <f t="shared" si="37"/>
        <v>2205.98</v>
      </c>
      <c r="L59" s="73">
        <f>+G59+H59+I59-J59+K59</f>
        <v>418930433.88</v>
      </c>
      <c r="M59" s="73">
        <f t="shared" si="37"/>
        <v>87195281.219999984</v>
      </c>
      <c r="N59" s="73">
        <f>+L59-M59</f>
        <v>331735152.66000003</v>
      </c>
      <c r="O59" s="73">
        <f t="shared" si="37"/>
        <v>10674331.929999998</v>
      </c>
      <c r="P59" s="73"/>
      <c r="Q59" s="73">
        <f>N59-O59-P59</f>
        <v>321060820.73000002</v>
      </c>
      <c r="U59" s="266" t="s">
        <v>380</v>
      </c>
      <c r="V59" s="266"/>
      <c r="W59" s="266"/>
    </row>
    <row r="60" spans="1:23" ht="21" customHeight="1">
      <c r="A60" s="47" t="s">
        <v>16</v>
      </c>
      <c r="B60" s="48">
        <f>B59</f>
        <v>1.3917000000000002</v>
      </c>
      <c r="C60" s="48">
        <f>C59</f>
        <v>0</v>
      </c>
      <c r="D60" s="43">
        <v>0</v>
      </c>
      <c r="E60" s="173"/>
      <c r="F60" s="65">
        <f>IF(E58&gt;E59,E58-E59,0)</f>
        <v>1195598906.632967</v>
      </c>
      <c r="G60" s="53">
        <f>F60*(B60-C60)/100</f>
        <v>16639149.983611004</v>
      </c>
      <c r="H60" s="53">
        <v>0</v>
      </c>
      <c r="I60" s="53">
        <f>F60*C60/100</f>
        <v>0</v>
      </c>
      <c r="J60" s="53">
        <v>0</v>
      </c>
      <c r="K60" s="53">
        <v>0</v>
      </c>
      <c r="L60" s="53">
        <f>G60+H60+I60-J60+K60</f>
        <v>16639149.983611004</v>
      </c>
      <c r="M60" s="53"/>
      <c r="N60" s="53">
        <f>L60-M60</f>
        <v>16639149.983611004</v>
      </c>
      <c r="O60" s="53">
        <v>0</v>
      </c>
      <c r="P60" s="53">
        <v>0</v>
      </c>
      <c r="Q60" s="53">
        <f>N60-O60-P60</f>
        <v>16639149.983611004</v>
      </c>
      <c r="U60" s="266" t="s">
        <v>381</v>
      </c>
      <c r="V60" s="266"/>
      <c r="W60" s="266"/>
    </row>
    <row r="61" spans="1:23" ht="12.75" customHeight="1">
      <c r="A61" s="47" t="s">
        <v>17</v>
      </c>
      <c r="B61" s="48">
        <f>B59</f>
        <v>1.3917000000000002</v>
      </c>
      <c r="C61" s="48">
        <f>C59</f>
        <v>0</v>
      </c>
      <c r="D61" s="43"/>
      <c r="E61" s="173"/>
      <c r="F61" s="66">
        <v>709588395</v>
      </c>
      <c r="G61" s="53"/>
      <c r="H61" s="53">
        <f>F61*(B61-C61)/100</f>
        <v>9875341.6932150014</v>
      </c>
      <c r="I61" s="53">
        <f>F61*C61/100</f>
        <v>0</v>
      </c>
      <c r="J61" s="53">
        <v>0</v>
      </c>
      <c r="K61" s="53">
        <v>0</v>
      </c>
      <c r="L61" s="53">
        <f>G61+H61+I61-J61+K61</f>
        <v>9875341.6932150014</v>
      </c>
      <c r="M61" s="53">
        <v>0</v>
      </c>
      <c r="N61" s="53">
        <f>L61-M61</f>
        <v>9875341.6932150014</v>
      </c>
      <c r="O61" s="53">
        <v>0</v>
      </c>
      <c r="P61" s="53">
        <v>0</v>
      </c>
      <c r="Q61" s="53">
        <f>N61-O61-P61</f>
        <v>9875341.6932150014</v>
      </c>
      <c r="U61" s="266"/>
      <c r="V61" s="266"/>
      <c r="W61" s="266"/>
    </row>
    <row r="62" spans="1:23">
      <c r="A62" s="47" t="s">
        <v>18</v>
      </c>
      <c r="B62" s="48"/>
      <c r="C62" s="48"/>
      <c r="D62" s="43"/>
      <c r="E62" s="173"/>
      <c r="F62" s="4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U62" s="153">
        <f>SUM(Q60,Q61,Q63,Q64)</f>
        <v>32811339.646826006</v>
      </c>
      <c r="V62" s="266"/>
      <c r="W62" s="266"/>
    </row>
    <row r="63" spans="1:23">
      <c r="A63" s="67" t="s">
        <v>19</v>
      </c>
      <c r="B63" s="48">
        <v>1.3916999999999999</v>
      </c>
      <c r="C63" s="48">
        <v>0</v>
      </c>
      <c r="D63" s="43"/>
      <c r="E63" s="173"/>
      <c r="F63" s="43">
        <v>431970855.95999998</v>
      </c>
      <c r="G63" s="53">
        <v>4950768.01</v>
      </c>
      <c r="H63" s="53">
        <v>1415606.8</v>
      </c>
      <c r="I63" s="53">
        <v>0</v>
      </c>
      <c r="J63" s="53">
        <v>354636.4</v>
      </c>
      <c r="K63" s="53">
        <v>0</v>
      </c>
      <c r="L63" s="53">
        <f>G63+H63+I63-J63+K63</f>
        <v>6011738.4099999992</v>
      </c>
      <c r="M63" s="53">
        <v>171208.3</v>
      </c>
      <c r="N63" s="53">
        <f>L63-M63</f>
        <v>5840530.1099999994</v>
      </c>
      <c r="O63" s="53">
        <v>155722.92000000001</v>
      </c>
      <c r="P63" s="53">
        <v>112525.97</v>
      </c>
      <c r="Q63" s="53">
        <f>N63-O63-P63</f>
        <v>5572281.2199999997</v>
      </c>
      <c r="S63" s="49">
        <v>0</v>
      </c>
      <c r="U63" s="266"/>
      <c r="V63" s="266"/>
      <c r="W63" s="266"/>
    </row>
    <row r="64" spans="1:23">
      <c r="A64" s="67" t="s">
        <v>20</v>
      </c>
      <c r="B64" s="48">
        <f>B59</f>
        <v>1.3917000000000002</v>
      </c>
      <c r="C64" s="48">
        <f>C59</f>
        <v>0</v>
      </c>
      <c r="D64" s="43"/>
      <c r="E64" s="173"/>
      <c r="F64" s="43">
        <v>54317259.890000001</v>
      </c>
      <c r="G64" s="53">
        <v>729299.75</v>
      </c>
      <c r="H64" s="53">
        <v>26633.17</v>
      </c>
      <c r="I64" s="53">
        <v>0</v>
      </c>
      <c r="J64" s="53">
        <v>0</v>
      </c>
      <c r="K64" s="53">
        <v>0</v>
      </c>
      <c r="L64" s="53">
        <f>G64+H64+I64-J64+K64</f>
        <v>755932.92</v>
      </c>
      <c r="M64" s="53">
        <v>11.4</v>
      </c>
      <c r="N64" s="53">
        <f>L64-M64</f>
        <v>755921.52</v>
      </c>
      <c r="O64" s="53">
        <v>31354.77</v>
      </c>
      <c r="P64" s="53">
        <v>0</v>
      </c>
      <c r="Q64" s="53">
        <f>N64-O64-P64</f>
        <v>724566.75</v>
      </c>
    </row>
    <row r="65" spans="1:20">
      <c r="A65" s="47"/>
      <c r="B65" s="48"/>
      <c r="C65" s="48"/>
      <c r="D65" s="43"/>
      <c r="E65" s="173"/>
      <c r="F65" s="4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</row>
    <row r="66" spans="1:20" s="50" customFormat="1" ht="13.5" thickBot="1">
      <c r="A66" s="60" t="str">
        <f>"TOTAL "&amp;A41</f>
        <v>TOTAL GENERAL COUNTY</v>
      </c>
      <c r="B66" s="68">
        <f>B59</f>
        <v>1.3917000000000002</v>
      </c>
      <c r="C66" s="68">
        <f>C59</f>
        <v>0</v>
      </c>
      <c r="D66" s="69">
        <f t="shared" ref="D66:Q66" si="38">SUM(D59:D61,D63:D64)</f>
        <v>192380</v>
      </c>
      <c r="E66" s="204"/>
      <c r="F66" s="69">
        <f t="shared" si="38"/>
        <v>36303710222.482964</v>
      </c>
      <c r="G66" s="70">
        <f t="shared" si="38"/>
        <v>23242912.363611005</v>
      </c>
      <c r="H66" s="70">
        <f t="shared" si="38"/>
        <v>482350631.61321503</v>
      </c>
      <c r="I66" s="70">
        <f t="shared" si="38"/>
        <v>0</v>
      </c>
      <c r="J66" s="70">
        <f>SUM(J59:J61,J63:J64)</f>
        <v>53383153.07</v>
      </c>
      <c r="K66" s="70">
        <f>SUM(K59:K61,K63:K64)</f>
        <v>2205.98</v>
      </c>
      <c r="L66" s="70">
        <f t="shared" si="38"/>
        <v>452212596.88682604</v>
      </c>
      <c r="M66" s="70">
        <f t="shared" si="38"/>
        <v>87366500.919999987</v>
      </c>
      <c r="N66" s="70">
        <f t="shared" si="38"/>
        <v>364846095.96682602</v>
      </c>
      <c r="O66" s="70">
        <f t="shared" si="38"/>
        <v>10861409.619999997</v>
      </c>
      <c r="P66" s="70">
        <f t="shared" si="38"/>
        <v>112525.97</v>
      </c>
      <c r="Q66" s="70">
        <f t="shared" si="38"/>
        <v>353872160.37682605</v>
      </c>
      <c r="T66" s="451"/>
    </row>
    <row r="67" spans="1:20" s="168" customFormat="1">
      <c r="A67" s="165" t="s">
        <v>28</v>
      </c>
      <c r="B67" s="166"/>
      <c r="C67" s="166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T67" s="449"/>
    </row>
    <row r="68" spans="1:20" s="168" customFormat="1">
      <c r="A68" s="200" t="s">
        <v>29</v>
      </c>
      <c r="B68" s="166"/>
      <c r="C68" s="166"/>
      <c r="D68" s="167"/>
      <c r="E68" s="167"/>
      <c r="F68" s="167">
        <v>522803252</v>
      </c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T68" s="449"/>
    </row>
    <row r="69" spans="1:20" s="168" customFormat="1">
      <c r="A69" s="200" t="s">
        <v>15</v>
      </c>
      <c r="B69" s="166"/>
      <c r="C69" s="166"/>
      <c r="D69" s="167"/>
      <c r="E69" s="260" t="s">
        <v>372</v>
      </c>
      <c r="F69" s="169">
        <v>29874471565</v>
      </c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T69" s="449"/>
    </row>
    <row r="70" spans="1:20" s="168" customFormat="1">
      <c r="A70" s="200"/>
      <c r="B70" s="166"/>
      <c r="C70" s="166"/>
      <c r="D70" s="167"/>
      <c r="E70" s="167"/>
      <c r="F70" s="167">
        <f>F68+F69</f>
        <v>30397274817</v>
      </c>
      <c r="G70" s="167" t="s">
        <v>387</v>
      </c>
      <c r="H70" s="463">
        <f>H42-F70</f>
        <v>-295368666.24912262</v>
      </c>
      <c r="I70" s="167"/>
      <c r="J70" s="167"/>
      <c r="K70" s="167"/>
      <c r="L70" s="167"/>
      <c r="M70" s="167"/>
      <c r="N70" s="167"/>
      <c r="O70" s="167"/>
      <c r="P70" s="167"/>
      <c r="Q70" s="167"/>
      <c r="T70" s="449"/>
    </row>
    <row r="71" spans="1:20" s="168" customFormat="1">
      <c r="A71" s="200" t="s">
        <v>30</v>
      </c>
      <c r="B71" s="166"/>
      <c r="C71" s="166"/>
      <c r="D71" s="167"/>
      <c r="E71" s="167">
        <f>F71-E70</f>
        <v>3514959988</v>
      </c>
      <c r="F71" s="74">
        <f>F59-J58-F70</f>
        <v>3514959988</v>
      </c>
      <c r="G71" s="170">
        <f>F71/F70</f>
        <v>0.11563404973508419</v>
      </c>
      <c r="H71" s="489"/>
      <c r="I71" s="167"/>
      <c r="J71" s="167"/>
      <c r="K71" s="167"/>
      <c r="L71" s="167"/>
      <c r="M71" s="167"/>
      <c r="N71" s="167"/>
      <c r="O71" s="167"/>
      <c r="P71" s="167"/>
      <c r="Q71" s="167"/>
      <c r="T71" s="449"/>
    </row>
    <row r="72" spans="1:20" s="174" customFormat="1">
      <c r="A72" s="171"/>
      <c r="B72" s="172"/>
      <c r="C72" s="172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T72" s="449"/>
    </row>
    <row r="73" spans="1:20" s="174" customFormat="1">
      <c r="A73" s="75" t="s">
        <v>355</v>
      </c>
      <c r="B73" s="172"/>
      <c r="C73" s="172"/>
      <c r="D73" s="175"/>
      <c r="E73" s="175"/>
      <c r="F73" s="175">
        <v>32332547782</v>
      </c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T73" s="449"/>
    </row>
    <row r="74" spans="1:20" s="174" customFormat="1">
      <c r="A74" s="76" t="s">
        <v>30</v>
      </c>
      <c r="B74" s="172"/>
      <c r="C74" s="172"/>
      <c r="D74" s="77"/>
      <c r="E74" s="77"/>
      <c r="F74" s="77">
        <f>F66-(J59/B59*100)-F73</f>
        <v>160821370.56847</v>
      </c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T74" s="449"/>
    </row>
    <row r="75" spans="1:20">
      <c r="A75" s="47"/>
      <c r="B75" s="48"/>
      <c r="C75" s="48"/>
      <c r="D75" s="49"/>
      <c r="E75" s="174"/>
      <c r="F75" s="4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1:20">
      <c r="A76" s="54" t="s">
        <v>13</v>
      </c>
      <c r="B76" s="51"/>
      <c r="C76" s="51"/>
      <c r="D76" s="52"/>
      <c r="E76" s="203"/>
      <c r="F76" s="52"/>
      <c r="G76" s="64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1:20">
      <c r="A77" s="47"/>
      <c r="B77" s="48"/>
      <c r="C77" s="48"/>
      <c r="D77" s="43"/>
      <c r="E77" s="65">
        <v>1261970583</v>
      </c>
      <c r="F77" s="43"/>
      <c r="G77" s="53"/>
      <c r="H77" s="53"/>
      <c r="I77" s="53"/>
      <c r="J77" s="95">
        <f>J78/B78*100</f>
        <v>3748032933.3333335</v>
      </c>
      <c r="K77" s="53"/>
      <c r="L77" s="53"/>
      <c r="M77" s="53"/>
      <c r="N77" s="53"/>
      <c r="O77" s="53"/>
      <c r="P77" s="53"/>
      <c r="Q77" s="53"/>
    </row>
    <row r="78" spans="1:20">
      <c r="A78" s="49" t="s">
        <v>15</v>
      </c>
      <c r="B78" s="48">
        <v>0.75</v>
      </c>
      <c r="C78" s="48">
        <v>0</v>
      </c>
      <c r="D78" s="43">
        <v>192380</v>
      </c>
      <c r="E78" s="173">
        <f>G78/B78*100</f>
        <v>66372733.333333336</v>
      </c>
      <c r="F78" s="43">
        <v>33912234805</v>
      </c>
      <c r="G78" s="53">
        <v>497795.5</v>
      </c>
      <c r="H78" s="53">
        <v>253844207.80999997</v>
      </c>
      <c r="I78" s="53">
        <v>0</v>
      </c>
      <c r="J78" s="53">
        <v>28110247</v>
      </c>
      <c r="K78" s="53">
        <v>1188.9100000000001</v>
      </c>
      <c r="L78" s="53">
        <f t="shared" ref="L78:L83" si="39">G78+H78+I78-J78+K78</f>
        <v>226232945.21999997</v>
      </c>
      <c r="M78" s="53">
        <v>46990342.590000004</v>
      </c>
      <c r="N78" s="53">
        <f>L78-M78</f>
        <v>179242602.62999997</v>
      </c>
      <c r="O78" s="53">
        <v>6067316.7599999998</v>
      </c>
      <c r="P78" s="53">
        <v>0</v>
      </c>
      <c r="Q78" s="53">
        <f>N78-O78-P78</f>
        <v>173175285.86999997</v>
      </c>
    </row>
    <row r="79" spans="1:20">
      <c r="A79" s="47" t="s">
        <v>16</v>
      </c>
      <c r="B79" s="48">
        <f>B78</f>
        <v>0.75</v>
      </c>
      <c r="C79" s="48">
        <f>C78</f>
        <v>0</v>
      </c>
      <c r="D79" s="43"/>
      <c r="E79" s="173"/>
      <c r="F79" s="65">
        <f>IF(E77&gt;E78,E77-E78,0)</f>
        <v>1195597849.6666667</v>
      </c>
      <c r="G79" s="53">
        <f>F79*(B79-C79)/100</f>
        <v>8966983.8725000005</v>
      </c>
      <c r="H79" s="53"/>
      <c r="I79" s="53">
        <f>F79*C79/100</f>
        <v>0</v>
      </c>
      <c r="J79" s="53"/>
      <c r="K79" s="53"/>
      <c r="L79" s="53">
        <f t="shared" si="39"/>
        <v>8966983.8725000005</v>
      </c>
      <c r="M79" s="53"/>
      <c r="N79" s="53">
        <f>L79-M79</f>
        <v>8966983.8725000005</v>
      </c>
      <c r="O79" s="53"/>
      <c r="P79" s="53"/>
      <c r="Q79" s="53">
        <f>N79-O79-P79</f>
        <v>8966983.8725000005</v>
      </c>
    </row>
    <row r="80" spans="1:20">
      <c r="A80" s="47" t="s">
        <v>17</v>
      </c>
      <c r="B80" s="48">
        <f>B78</f>
        <v>0.75</v>
      </c>
      <c r="C80" s="48">
        <f>C78</f>
        <v>0</v>
      </c>
      <c r="D80" s="43"/>
      <c r="E80" s="173"/>
      <c r="F80" s="66">
        <v>709588395</v>
      </c>
      <c r="G80" s="53"/>
      <c r="H80" s="53">
        <f>F80*(B80-C80)/100</f>
        <v>5321912.9625000004</v>
      </c>
      <c r="I80" s="53">
        <f>F80*C80/100</f>
        <v>0</v>
      </c>
      <c r="J80" s="53">
        <v>0</v>
      </c>
      <c r="K80" s="53">
        <v>0</v>
      </c>
      <c r="L80" s="53">
        <f t="shared" si="39"/>
        <v>5321912.9625000004</v>
      </c>
      <c r="M80" s="53">
        <v>0</v>
      </c>
      <c r="N80" s="53">
        <f>L80-M80</f>
        <v>5321912.9625000004</v>
      </c>
      <c r="O80" s="53">
        <v>0</v>
      </c>
      <c r="P80" s="53">
        <v>0</v>
      </c>
      <c r="Q80" s="53">
        <v>0</v>
      </c>
    </row>
    <row r="81" spans="1:21">
      <c r="A81" s="47" t="s">
        <v>18</v>
      </c>
      <c r="B81" s="48"/>
      <c r="C81" s="48"/>
      <c r="D81" s="43"/>
      <c r="E81" s="17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1:21">
      <c r="A82" s="67" t="s">
        <v>19</v>
      </c>
      <c r="B82" s="48">
        <f>B78</f>
        <v>0.75</v>
      </c>
      <c r="C82" s="48">
        <f>C78</f>
        <v>0</v>
      </c>
      <c r="D82" s="43"/>
      <c r="E82" s="173"/>
      <c r="F82" s="43">
        <v>431970855.95999998</v>
      </c>
      <c r="G82" s="53">
        <f>4050046.21*S85</f>
        <v>2668014.631093544</v>
      </c>
      <c r="H82" s="53">
        <f>1158057.23*S85</f>
        <v>762883.55072463769</v>
      </c>
      <c r="I82" s="53">
        <v>0</v>
      </c>
      <c r="J82" s="53">
        <f>290115.36*S85</f>
        <v>191116.83794466403</v>
      </c>
      <c r="K82" s="53">
        <v>0</v>
      </c>
      <c r="L82" s="53">
        <f t="shared" si="39"/>
        <v>3239781.3438735176</v>
      </c>
      <c r="M82" s="53">
        <f>140059.34*S85</f>
        <v>92265.704874835312</v>
      </c>
      <c r="N82" s="53">
        <f>L82-M82</f>
        <v>3147515.6389986821</v>
      </c>
      <c r="O82" s="53">
        <f>83920.54*S85</f>
        <v>55283.623188405792</v>
      </c>
      <c r="P82" s="53">
        <f>92053.48*S85</f>
        <v>60641.29117259552</v>
      </c>
      <c r="Q82" s="53">
        <f>N82-O82-P82</f>
        <v>3031590.7246376807</v>
      </c>
      <c r="S82" s="381">
        <f>Q83-G83</f>
        <v>3215.573122529604</v>
      </c>
    </row>
    <row r="83" spans="1:21">
      <c r="A83" s="67" t="s">
        <v>20</v>
      </c>
      <c r="B83" s="48">
        <f>B78</f>
        <v>0.75</v>
      </c>
      <c r="C83" s="48">
        <f>C78</f>
        <v>0</v>
      </c>
      <c r="D83" s="43"/>
      <c r="E83" s="173"/>
      <c r="F83" s="43">
        <v>54317259.890000001</v>
      </c>
      <c r="G83" s="53">
        <f>596613.84*S85</f>
        <v>393026.24505928851</v>
      </c>
      <c r="H83" s="53">
        <f>21787.75*S85</f>
        <v>14352.931488801054</v>
      </c>
      <c r="I83" s="53">
        <v>0</v>
      </c>
      <c r="J83" s="53">
        <v>0</v>
      </c>
      <c r="K83" s="53">
        <v>0</v>
      </c>
      <c r="L83" s="53">
        <f t="shared" si="39"/>
        <v>407379.17654808954</v>
      </c>
      <c r="M83" s="53">
        <f>9.32*S85</f>
        <v>6.1396574440052705</v>
      </c>
      <c r="N83" s="53">
        <f>L83-M83</f>
        <v>407373.03689064551</v>
      </c>
      <c r="O83" s="53">
        <f>16897.19*S85</f>
        <v>11131.218708827404</v>
      </c>
      <c r="P83" s="53">
        <v>0</v>
      </c>
      <c r="Q83" s="53">
        <f>N83-O83-P83</f>
        <v>396241.81818181812</v>
      </c>
      <c r="S83" s="381">
        <f>G83</f>
        <v>393026.24505928851</v>
      </c>
      <c r="U83" s="53"/>
    </row>
    <row r="84" spans="1:21">
      <c r="A84" s="47"/>
      <c r="B84" s="48"/>
      <c r="C84" s="48"/>
      <c r="D84" s="43"/>
      <c r="E84" s="173"/>
      <c r="F84" s="43"/>
      <c r="G84" s="53"/>
      <c r="I84" s="53"/>
      <c r="J84" s="53"/>
      <c r="K84" s="53"/>
      <c r="L84" s="53"/>
      <c r="M84" s="53"/>
      <c r="N84" s="53"/>
      <c r="O84" s="53"/>
      <c r="P84" s="53"/>
      <c r="Q84" s="53"/>
    </row>
    <row r="85" spans="1:21" s="50" customFormat="1">
      <c r="A85" s="57" t="s">
        <v>31</v>
      </c>
      <c r="B85" s="51">
        <f>B78</f>
        <v>0.75</v>
      </c>
      <c r="C85" s="51">
        <f>C78</f>
        <v>0</v>
      </c>
      <c r="D85" s="78">
        <f t="shared" ref="D85:Q85" si="40">SUM(D78:D80,D82:D83)</f>
        <v>192380</v>
      </c>
      <c r="E85" s="206"/>
      <c r="F85" s="78">
        <f>SUM(F78:F80,F82:F83)</f>
        <v>36303709165.516663</v>
      </c>
      <c r="G85" s="79">
        <f t="shared" si="40"/>
        <v>12525820.248652834</v>
      </c>
      <c r="H85" s="79">
        <f t="shared" si="40"/>
        <v>259943357.25471342</v>
      </c>
      <c r="I85" s="79">
        <f t="shared" si="40"/>
        <v>0</v>
      </c>
      <c r="J85" s="79">
        <f t="shared" si="40"/>
        <v>28301363.837944664</v>
      </c>
      <c r="K85" s="79">
        <f t="shared" si="40"/>
        <v>1188.9100000000001</v>
      </c>
      <c r="L85" s="79">
        <f t="shared" si="40"/>
        <v>244169002.5754216</v>
      </c>
      <c r="M85" s="79">
        <f t="shared" si="40"/>
        <v>47082614.434532285</v>
      </c>
      <c r="N85" s="79">
        <f t="shared" si="40"/>
        <v>197086388.14088932</v>
      </c>
      <c r="O85" s="79">
        <f t="shared" si="40"/>
        <v>6133731.6018972332</v>
      </c>
      <c r="P85" s="79">
        <f t="shared" si="40"/>
        <v>60641.29117259552</v>
      </c>
      <c r="Q85" s="79">
        <f t="shared" si="40"/>
        <v>185570102.28531948</v>
      </c>
      <c r="S85" s="183">
        <f>B85/B99</f>
        <v>0.65876152832674573</v>
      </c>
      <c r="T85" s="451"/>
    </row>
    <row r="86" spans="1:21">
      <c r="A86" s="47"/>
      <c r="B86" s="48"/>
      <c r="C86" s="48"/>
      <c r="D86" s="43"/>
      <c r="E86" s="173"/>
      <c r="F86" s="43"/>
      <c r="G86" s="53"/>
      <c r="H86" s="53"/>
      <c r="I86" s="53"/>
      <c r="J86" s="53"/>
      <c r="K86" s="53"/>
      <c r="L86" s="505" t="s">
        <v>388</v>
      </c>
      <c r="M86" s="506">
        <f>M85/L85</f>
        <v>0.1928279754510972</v>
      </c>
      <c r="N86" s="53"/>
      <c r="O86" s="53"/>
      <c r="P86" s="53"/>
      <c r="Q86" s="53"/>
    </row>
    <row r="87" spans="1:21">
      <c r="A87" s="47"/>
      <c r="B87" s="48"/>
      <c r="C87" s="48"/>
      <c r="D87" s="43"/>
      <c r="E87" s="173"/>
      <c r="F87" s="43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21">
      <c r="A88" s="54" t="s">
        <v>32</v>
      </c>
      <c r="B88" s="48"/>
      <c r="C88" s="48"/>
      <c r="D88" s="43"/>
      <c r="E88" s="173"/>
      <c r="F88" s="49"/>
      <c r="G88" s="81">
        <f>G82+G94</f>
        <v>4050046.21</v>
      </c>
      <c r="H88" s="81">
        <f t="shared" ref="H88:Q89" si="41">H82+H94</f>
        <v>1158057.23</v>
      </c>
      <c r="I88" s="81">
        <f t="shared" si="41"/>
        <v>0</v>
      </c>
      <c r="J88" s="81">
        <f t="shared" si="41"/>
        <v>290115.36</v>
      </c>
      <c r="K88" s="81">
        <f t="shared" si="41"/>
        <v>0</v>
      </c>
      <c r="L88" s="81">
        <f t="shared" si="41"/>
        <v>4917988.08</v>
      </c>
      <c r="M88" s="81">
        <f t="shared" si="41"/>
        <v>140059.34</v>
      </c>
      <c r="N88" s="81">
        <f t="shared" si="41"/>
        <v>4777928.7399999993</v>
      </c>
      <c r="O88" s="81">
        <f t="shared" si="41"/>
        <v>83920.54</v>
      </c>
      <c r="P88" s="81">
        <f t="shared" si="41"/>
        <v>92053.48</v>
      </c>
      <c r="Q88" s="81">
        <f t="shared" si="41"/>
        <v>4601954.7199999988</v>
      </c>
    </row>
    <row r="89" spans="1:21">
      <c r="A89" s="47"/>
      <c r="B89" s="48"/>
      <c r="C89" s="48"/>
      <c r="D89" s="43"/>
      <c r="E89" s="65">
        <v>1261970583</v>
      </c>
      <c r="F89" s="43"/>
      <c r="G89" s="81">
        <f>G83+G95</f>
        <v>596613.84</v>
      </c>
      <c r="H89" s="81">
        <f t="shared" si="41"/>
        <v>21787.75</v>
      </c>
      <c r="I89" s="81">
        <f t="shared" si="41"/>
        <v>0</v>
      </c>
      <c r="J89" s="81">
        <f t="shared" si="41"/>
        <v>0</v>
      </c>
      <c r="K89" s="81">
        <f t="shared" si="41"/>
        <v>0</v>
      </c>
      <c r="L89" s="81">
        <f t="shared" si="41"/>
        <v>618401.59</v>
      </c>
      <c r="M89" s="81">
        <f t="shared" si="41"/>
        <v>9.32</v>
      </c>
      <c r="N89" s="81">
        <f t="shared" si="41"/>
        <v>618392.2699999999</v>
      </c>
      <c r="O89" s="81">
        <f t="shared" si="41"/>
        <v>16897.189999999999</v>
      </c>
      <c r="P89" s="81">
        <f t="shared" si="41"/>
        <v>0</v>
      </c>
      <c r="Q89" s="81">
        <f t="shared" si="41"/>
        <v>601495.07999999984</v>
      </c>
    </row>
    <row r="90" spans="1:21">
      <c r="A90" s="49" t="s">
        <v>15</v>
      </c>
      <c r="B90" s="48">
        <v>0.38850000000000001</v>
      </c>
      <c r="C90" s="48">
        <v>0</v>
      </c>
      <c r="D90" s="43">
        <v>192380</v>
      </c>
      <c r="E90" s="173">
        <f>G90/B90*100</f>
        <v>66370990.990990981</v>
      </c>
      <c r="F90" s="43">
        <v>33912234805</v>
      </c>
      <c r="G90" s="53">
        <v>257851.3</v>
      </c>
      <c r="H90" s="53">
        <v>131491182.56999999</v>
      </c>
      <c r="I90" s="53">
        <v>0</v>
      </c>
      <c r="J90" s="53">
        <v>14561096.07</v>
      </c>
      <c r="K90" s="53">
        <v>615.85</v>
      </c>
      <c r="L90" s="53">
        <f>G90+H90+I90-J90+K90</f>
        <v>117188553.64999998</v>
      </c>
      <c r="M90" s="53">
        <v>24340996.370000001</v>
      </c>
      <c r="N90" s="53">
        <f>L90-M90</f>
        <v>92847557.279999971</v>
      </c>
      <c r="O90" s="53">
        <v>0</v>
      </c>
      <c r="P90" s="53"/>
      <c r="Q90" s="53">
        <f>N90-O90-P90</f>
        <v>92847557.279999971</v>
      </c>
      <c r="S90" s="53"/>
      <c r="T90" s="450"/>
      <c r="U90" s="43">
        <f>J90/B90*100</f>
        <v>3748029876.4478765</v>
      </c>
    </row>
    <row r="91" spans="1:21">
      <c r="A91" s="47" t="s">
        <v>16</v>
      </c>
      <c r="B91" s="48">
        <f>B90</f>
        <v>0.38850000000000001</v>
      </c>
      <c r="C91" s="48">
        <f>C90</f>
        <v>0</v>
      </c>
      <c r="D91" s="43"/>
      <c r="E91" s="173"/>
      <c r="F91" s="65">
        <f>IF(E89&gt;E90,E89-E90,0)</f>
        <v>1195599592.0090091</v>
      </c>
      <c r="G91" s="53">
        <f>F91*(B91-C91)/100</f>
        <v>4644904.4149550013</v>
      </c>
      <c r="H91" s="53"/>
      <c r="I91" s="53">
        <f>F91*C91/100</f>
        <v>0</v>
      </c>
      <c r="J91" s="53"/>
      <c r="K91" s="53"/>
      <c r="L91" s="53">
        <f>G91+H91+I91-J91+K91</f>
        <v>4644904.4149550013</v>
      </c>
      <c r="M91" s="53"/>
      <c r="N91" s="53">
        <f>L91-M91</f>
        <v>4644904.4149550013</v>
      </c>
      <c r="O91" s="53"/>
      <c r="P91" s="53"/>
      <c r="Q91" s="53">
        <f>N91-O91-P91</f>
        <v>4644904.4149550013</v>
      </c>
    </row>
    <row r="92" spans="1:21">
      <c r="A92" s="47" t="s">
        <v>17</v>
      </c>
      <c r="B92" s="48">
        <f>B90</f>
        <v>0.38850000000000001</v>
      </c>
      <c r="C92" s="48">
        <f>C90</f>
        <v>0</v>
      </c>
      <c r="D92" s="43"/>
      <c r="E92" s="173"/>
      <c r="F92" s="66">
        <v>709588395</v>
      </c>
      <c r="G92" s="53"/>
      <c r="H92" s="53">
        <f>F92*(B92-C92)/100</f>
        <v>2756750.9145749998</v>
      </c>
      <c r="I92" s="53">
        <f>F92*C92/100</f>
        <v>0</v>
      </c>
      <c r="J92" s="53">
        <v>0</v>
      </c>
      <c r="K92" s="53">
        <v>0</v>
      </c>
      <c r="L92" s="53">
        <f>G92+H92+I92-J92+K92</f>
        <v>2756750.9145749998</v>
      </c>
      <c r="M92" s="53">
        <v>0</v>
      </c>
      <c r="N92" s="53">
        <f>L92-M92</f>
        <v>2756750.9145749998</v>
      </c>
      <c r="O92" s="53">
        <v>0</v>
      </c>
      <c r="P92" s="53">
        <v>0</v>
      </c>
      <c r="Q92" s="53">
        <f>N92-O92-P92</f>
        <v>2756750.9145749998</v>
      </c>
    </row>
    <row r="93" spans="1:21">
      <c r="A93" s="47" t="s">
        <v>18</v>
      </c>
      <c r="B93" s="48"/>
      <c r="C93" s="48"/>
      <c r="D93" s="43"/>
      <c r="E93" s="173"/>
      <c r="F93" s="4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1:21">
      <c r="A94" s="67" t="s">
        <v>19</v>
      </c>
      <c r="B94" s="48">
        <f>B90</f>
        <v>0.38850000000000001</v>
      </c>
      <c r="C94" s="48">
        <f>C90</f>
        <v>0</v>
      </c>
      <c r="D94" s="43"/>
      <c r="E94" s="173"/>
      <c r="F94" s="43">
        <v>431970855.95999998</v>
      </c>
      <c r="G94" s="53">
        <f>4050046.21*S97</f>
        <v>1382031.5789064558</v>
      </c>
      <c r="H94" s="53">
        <f>1158057.23*S97</f>
        <v>395173.67927536229</v>
      </c>
      <c r="I94" s="53">
        <v>0</v>
      </c>
      <c r="J94" s="53">
        <f>290115.36*S97</f>
        <v>98998.522055335954</v>
      </c>
      <c r="K94" s="53">
        <v>0</v>
      </c>
      <c r="L94" s="53">
        <f t="shared" ref="L94" si="42">G94+H94+I94-J94+K94</f>
        <v>1678206.736126482</v>
      </c>
      <c r="M94" s="53">
        <f>140059.34*S97</f>
        <v>47793.635125164685</v>
      </c>
      <c r="N94" s="53">
        <f>L94-M94</f>
        <v>1630413.1010013174</v>
      </c>
      <c r="O94" s="53">
        <f>83920.54*S97</f>
        <v>28636.916811594201</v>
      </c>
      <c r="P94" s="53">
        <f>92053.48*S97</f>
        <v>31412.188827404476</v>
      </c>
      <c r="Q94" s="53">
        <f>N94-O94-P94</f>
        <v>1570363.9953623186</v>
      </c>
      <c r="S94" s="381">
        <f>+Q94+Q82</f>
        <v>4601954.7199999988</v>
      </c>
    </row>
    <row r="95" spans="1:21">
      <c r="A95" s="67" t="s">
        <v>20</v>
      </c>
      <c r="B95" s="48">
        <f>B90</f>
        <v>0.38850000000000001</v>
      </c>
      <c r="C95" s="48">
        <f>C90</f>
        <v>0</v>
      </c>
      <c r="D95" s="43"/>
      <c r="E95" s="173"/>
      <c r="F95" s="43">
        <v>54317259.890000001</v>
      </c>
      <c r="G95" s="53">
        <f>596613.84*S97</f>
        <v>203587.59494071145</v>
      </c>
      <c r="H95" s="53">
        <f>21787.75*S97</f>
        <v>7434.818511198946</v>
      </c>
      <c r="I95" s="53">
        <v>0</v>
      </c>
      <c r="J95" s="53">
        <v>0</v>
      </c>
      <c r="K95" s="53">
        <v>0</v>
      </c>
      <c r="L95" s="53">
        <f t="shared" ref="L95" si="43">G95+H95+I95-J95+K95</f>
        <v>211022.4134519104</v>
      </c>
      <c r="M95" s="53">
        <f>9.32*S97</f>
        <v>3.1803425559947298</v>
      </c>
      <c r="N95" s="53">
        <f>L95-M95</f>
        <v>211019.23310935439</v>
      </c>
      <c r="O95" s="53">
        <f>16897.19*S97</f>
        <v>5765.9712911725946</v>
      </c>
      <c r="P95" s="53">
        <v>0</v>
      </c>
      <c r="Q95" s="53">
        <f>N95-O95-P95</f>
        <v>205253.26181818178</v>
      </c>
      <c r="S95" s="53"/>
    </row>
    <row r="96" spans="1:21">
      <c r="A96" s="47"/>
      <c r="B96" s="48"/>
      <c r="C96" s="48"/>
      <c r="D96" s="43"/>
      <c r="E96" s="173"/>
      <c r="F96" s="4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1:20" s="50" customFormat="1">
      <c r="A97" s="57" t="str">
        <f>"TOTAL "&amp;A88</f>
        <v>TOTAL SCHOOL DEBT</v>
      </c>
      <c r="B97" s="51">
        <f>B90</f>
        <v>0.38850000000000001</v>
      </c>
      <c r="C97" s="51">
        <f>C90</f>
        <v>0</v>
      </c>
      <c r="D97" s="78">
        <f t="shared" ref="D97:Q97" si="44">SUM(D90:D92,D94:D95)</f>
        <v>192380</v>
      </c>
      <c r="E97" s="206"/>
      <c r="F97" s="78">
        <f t="shared" si="44"/>
        <v>36303710907.859009</v>
      </c>
      <c r="G97" s="79">
        <f t="shared" si="44"/>
        <v>6488374.8888021689</v>
      </c>
      <c r="H97" s="79">
        <f t="shared" si="44"/>
        <v>134650541.98236156</v>
      </c>
      <c r="I97" s="79">
        <f t="shared" si="44"/>
        <v>0</v>
      </c>
      <c r="J97" s="79">
        <f t="shared" si="44"/>
        <v>14660094.592055336</v>
      </c>
      <c r="K97" s="79">
        <f t="shared" si="44"/>
        <v>615.85</v>
      </c>
      <c r="L97" s="79">
        <f t="shared" si="44"/>
        <v>126479438.12910837</v>
      </c>
      <c r="M97" s="79">
        <f t="shared" si="44"/>
        <v>24388793.18546772</v>
      </c>
      <c r="N97" s="79">
        <f t="shared" si="44"/>
        <v>102090644.94364065</v>
      </c>
      <c r="O97" s="79">
        <f t="shared" si="44"/>
        <v>34402.888102766796</v>
      </c>
      <c r="P97" s="79">
        <f t="shared" si="44"/>
        <v>31412.188827404476</v>
      </c>
      <c r="Q97" s="79">
        <f t="shared" si="44"/>
        <v>102024829.86671047</v>
      </c>
      <c r="S97" s="183">
        <f>B97/B99</f>
        <v>0.34123847167325427</v>
      </c>
      <c r="T97" s="451"/>
    </row>
    <row r="98" spans="1:20">
      <c r="A98" s="47"/>
      <c r="B98" s="48"/>
      <c r="C98" s="48"/>
      <c r="D98" s="43"/>
      <c r="E98" s="173"/>
      <c r="F98" s="4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1:20" s="50" customFormat="1" ht="13.5" thickBot="1">
      <c r="A99" s="60" t="str">
        <f>"TOTAL "&amp;A76</f>
        <v>TOTAL SCHOOL DISTRICT</v>
      </c>
      <c r="B99" s="68">
        <f>B85+B97</f>
        <v>1.1385000000000001</v>
      </c>
      <c r="C99" s="68">
        <f>C85+C97</f>
        <v>0</v>
      </c>
      <c r="D99" s="69">
        <f>D85</f>
        <v>192380</v>
      </c>
      <c r="E99" s="204"/>
      <c r="F99" s="69">
        <f>F85</f>
        <v>36303709165.516663</v>
      </c>
      <c r="G99" s="70">
        <f t="shared" ref="G99:Q99" si="45">G85+G97</f>
        <v>19014195.137455001</v>
      </c>
      <c r="H99" s="70">
        <f t="shared" si="45"/>
        <v>394593899.23707497</v>
      </c>
      <c r="I99" s="70">
        <f t="shared" si="45"/>
        <v>0</v>
      </c>
      <c r="J99" s="70">
        <f t="shared" si="45"/>
        <v>42961458.43</v>
      </c>
      <c r="K99" s="70">
        <f t="shared" si="45"/>
        <v>1804.7600000000002</v>
      </c>
      <c r="L99" s="70">
        <f t="shared" si="45"/>
        <v>370648440.70453</v>
      </c>
      <c r="M99" s="70">
        <f t="shared" si="45"/>
        <v>71471407.620000005</v>
      </c>
      <c r="N99" s="70">
        <f t="shared" si="45"/>
        <v>299177033.08453</v>
      </c>
      <c r="O99" s="70">
        <f t="shared" si="45"/>
        <v>6168134.4900000002</v>
      </c>
      <c r="P99" s="70">
        <f t="shared" si="45"/>
        <v>92053.48</v>
      </c>
      <c r="Q99" s="70">
        <f t="shared" si="45"/>
        <v>287594932.15202993</v>
      </c>
      <c r="T99" s="451"/>
    </row>
    <row r="100" spans="1:20">
      <c r="A100" s="150" t="s">
        <v>355</v>
      </c>
      <c r="B100" s="48"/>
      <c r="C100" s="48"/>
      <c r="D100" s="43"/>
      <c r="E100" s="173"/>
      <c r="F100" s="64">
        <v>32332547782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T100" s="450"/>
    </row>
    <row r="101" spans="1:20">
      <c r="A101" s="151" t="s">
        <v>30</v>
      </c>
      <c r="B101" s="51"/>
      <c r="C101" s="51"/>
      <c r="D101" s="52"/>
      <c r="E101" s="203"/>
      <c r="F101" s="152">
        <f>(F99-ROUND(J78/B78*100,0))-F100</f>
        <v>223128450.5166626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T101" s="450"/>
    </row>
    <row r="102" spans="1:20">
      <c r="A102" s="54" t="s">
        <v>232</v>
      </c>
      <c r="B102" s="48"/>
      <c r="C102" s="48"/>
      <c r="D102" s="43"/>
      <c r="E102" s="173"/>
      <c r="F102" s="43"/>
      <c r="G102" s="64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1:20">
      <c r="A103" s="50"/>
      <c r="B103" s="51"/>
      <c r="C103" s="51"/>
      <c r="D103" s="52"/>
      <c r="E103" s="65">
        <v>696646952</v>
      </c>
      <c r="F103" s="43"/>
      <c r="G103" s="53"/>
      <c r="H103" s="53"/>
      <c r="I103" s="53"/>
      <c r="J103" s="95">
        <f>J104/B104*100</f>
        <v>2278911625.3386126</v>
      </c>
      <c r="K103" s="53"/>
      <c r="L103" s="53"/>
      <c r="M103" s="53"/>
      <c r="N103" s="53"/>
      <c r="O103" s="53"/>
      <c r="P103" s="53"/>
      <c r="Q103" s="53"/>
    </row>
    <row r="104" spans="1:20">
      <c r="A104" s="49" t="s">
        <v>15</v>
      </c>
      <c r="B104" s="48">
        <v>0.95979999999999999</v>
      </c>
      <c r="C104" s="48">
        <v>0</v>
      </c>
      <c r="D104" s="43">
        <v>91711</v>
      </c>
      <c r="E104" s="173">
        <f>G104/B104*100</f>
        <v>29868019.379037298</v>
      </c>
      <c r="F104" s="43">
        <v>16908334701</v>
      </c>
      <c r="G104" s="53">
        <v>286673.25</v>
      </c>
      <c r="H104" s="53">
        <v>161999526.53</v>
      </c>
      <c r="I104" s="53">
        <v>0</v>
      </c>
      <c r="J104" s="53">
        <v>21872993.780000001</v>
      </c>
      <c r="K104" s="53">
        <v>897.41</v>
      </c>
      <c r="L104" s="53">
        <f>G104+H104+I104-J104+K104</f>
        <v>140414103.41</v>
      </c>
      <c r="M104" s="53">
        <v>25972551.68</v>
      </c>
      <c r="N104" s="53">
        <f>L104-M104</f>
        <v>114441551.72999999</v>
      </c>
      <c r="O104" s="53">
        <v>3838097.71</v>
      </c>
      <c r="P104" s="53">
        <v>0</v>
      </c>
      <c r="Q104" s="53">
        <f>N104-O104-P104</f>
        <v>110603454.02</v>
      </c>
    </row>
    <row r="105" spans="1:20">
      <c r="A105" s="47" t="s">
        <v>16</v>
      </c>
      <c r="B105" s="48">
        <f>B104</f>
        <v>0.95979999999999999</v>
      </c>
      <c r="C105" s="48">
        <f>C104</f>
        <v>0</v>
      </c>
      <c r="D105" s="43"/>
      <c r="E105" s="173"/>
      <c r="F105" s="65">
        <f>IF(E103&gt;E104,E103-E104,0)</f>
        <v>666778932.62096274</v>
      </c>
      <c r="G105" s="53">
        <f>F105*(B105-C105)/100</f>
        <v>6399744.1952960007</v>
      </c>
      <c r="H105" s="53"/>
      <c r="I105" s="53">
        <f>F105*C105/100</f>
        <v>0</v>
      </c>
      <c r="J105" s="53"/>
      <c r="K105" s="53"/>
      <c r="L105" s="53">
        <f>G105+H105+I105-J105+K105</f>
        <v>6399744.1952960007</v>
      </c>
      <c r="M105" s="53"/>
      <c r="N105" s="53">
        <f>L105-M105</f>
        <v>6399744.1952960007</v>
      </c>
      <c r="O105" s="53"/>
      <c r="P105" s="53"/>
      <c r="Q105" s="53">
        <f>N105-O105-P105</f>
        <v>6399744.1952960007</v>
      </c>
    </row>
    <row r="106" spans="1:20">
      <c r="A106" s="47" t="s">
        <v>17</v>
      </c>
      <c r="B106" s="48">
        <f>B104</f>
        <v>0.95979999999999999</v>
      </c>
      <c r="C106" s="48">
        <f>C104</f>
        <v>0</v>
      </c>
      <c r="D106" s="43"/>
      <c r="E106" s="173"/>
      <c r="F106" s="66">
        <v>476079344</v>
      </c>
      <c r="G106" s="53"/>
      <c r="H106" s="53">
        <f>F106*(B106-C106)/100</f>
        <v>4569409.5437119994</v>
      </c>
      <c r="I106" s="53">
        <f>F106*C106/100</f>
        <v>0</v>
      </c>
      <c r="J106" s="53">
        <v>0</v>
      </c>
      <c r="K106" s="53">
        <v>0</v>
      </c>
      <c r="L106" s="53">
        <f>G106+H106+I106-J106+K106</f>
        <v>4569409.5437119994</v>
      </c>
      <c r="M106" s="53">
        <v>0</v>
      </c>
      <c r="N106" s="53">
        <f>L106-M106</f>
        <v>4569409.5437119994</v>
      </c>
      <c r="O106" s="53">
        <v>0</v>
      </c>
      <c r="P106" s="53">
        <v>0</v>
      </c>
      <c r="Q106" s="53">
        <f>N106-O106-P106</f>
        <v>4569409.5437119994</v>
      </c>
    </row>
    <row r="107" spans="1:20">
      <c r="A107" s="47" t="s">
        <v>18</v>
      </c>
      <c r="B107" s="48"/>
      <c r="C107" s="48"/>
      <c r="D107" s="43"/>
      <c r="E107" s="173"/>
      <c r="F107" s="4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1:20">
      <c r="A108" s="67" t="s">
        <v>19</v>
      </c>
      <c r="B108" s="48">
        <f>B104</f>
        <v>0.95979999999999999</v>
      </c>
      <c r="C108" s="48">
        <f>C104</f>
        <v>0</v>
      </c>
      <c r="D108" s="43"/>
      <c r="E108" s="173"/>
      <c r="F108" s="43">
        <v>120183340.18000001</v>
      </c>
      <c r="G108" s="53">
        <v>403907.87</v>
      </c>
      <c r="H108" s="53">
        <v>750088.62</v>
      </c>
      <c r="I108" s="53">
        <v>0</v>
      </c>
      <c r="J108" s="53">
        <v>49680.29</v>
      </c>
      <c r="K108" s="53">
        <v>0</v>
      </c>
      <c r="L108" s="53">
        <f>G108+H108+I108-J108+K108</f>
        <v>1104316.2</v>
      </c>
      <c r="M108" s="53">
        <v>36978.06</v>
      </c>
      <c r="N108" s="53">
        <f>L108-M108</f>
        <v>1067338.1399999999</v>
      </c>
      <c r="O108" s="53">
        <v>62057.16</v>
      </c>
      <c r="P108" s="53">
        <v>0</v>
      </c>
      <c r="Q108" s="53">
        <f>N108-O108-P108</f>
        <v>1005280.9799999999</v>
      </c>
    </row>
    <row r="109" spans="1:20">
      <c r="A109" s="67" t="s">
        <v>20</v>
      </c>
      <c r="B109" s="48">
        <f>B104</f>
        <v>0.95979999999999999</v>
      </c>
      <c r="C109" s="48">
        <f>C104</f>
        <v>0</v>
      </c>
      <c r="D109" s="43"/>
      <c r="E109" s="173"/>
      <c r="F109" s="43">
        <v>18691595.43</v>
      </c>
      <c r="G109" s="53">
        <v>177364.12</v>
      </c>
      <c r="H109" s="53">
        <v>2037.61</v>
      </c>
      <c r="I109" s="53">
        <v>0</v>
      </c>
      <c r="J109" s="53">
        <v>0</v>
      </c>
      <c r="K109" s="53">
        <v>0</v>
      </c>
      <c r="L109" s="53">
        <f>G109+H109+I109-J109+K109</f>
        <v>179401.72999999998</v>
      </c>
      <c r="M109" s="53">
        <v>0.9</v>
      </c>
      <c r="N109" s="53">
        <f>L109-M109</f>
        <v>179400.83</v>
      </c>
      <c r="O109" s="53">
        <v>11950.49</v>
      </c>
      <c r="P109" s="53">
        <v>0</v>
      </c>
      <c r="Q109" s="53">
        <f>N109-O109-P109</f>
        <v>167450.34</v>
      </c>
    </row>
    <row r="110" spans="1:20">
      <c r="A110" s="47"/>
      <c r="B110" s="48"/>
      <c r="C110" s="48"/>
      <c r="D110" s="43"/>
      <c r="E110" s="173"/>
      <c r="F110" s="4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1:20" s="50" customFormat="1" ht="13.5" thickBot="1">
      <c r="A111" s="60" t="str">
        <f>"TOTAL "&amp;A102</f>
        <v>TOTAL CITY OF RENO</v>
      </c>
      <c r="B111" s="68">
        <f>B104</f>
        <v>0.95979999999999999</v>
      </c>
      <c r="C111" s="68">
        <f>C104</f>
        <v>0</v>
      </c>
      <c r="D111" s="69">
        <f t="shared" ref="D111:Q111" si="46">SUM(D104:D106,D108:D109)</f>
        <v>91711</v>
      </c>
      <c r="E111" s="204"/>
      <c r="F111" s="69">
        <f t="shared" si="46"/>
        <v>18190067913.230965</v>
      </c>
      <c r="G111" s="70">
        <f t="shared" si="46"/>
        <v>7267689.4352960009</v>
      </c>
      <c r="H111" s="70">
        <f t="shared" si="46"/>
        <v>167321062.30371201</v>
      </c>
      <c r="I111" s="70">
        <f t="shared" si="46"/>
        <v>0</v>
      </c>
      <c r="J111" s="70">
        <f t="shared" si="46"/>
        <v>21922674.07</v>
      </c>
      <c r="K111" s="70">
        <f t="shared" si="46"/>
        <v>897.41</v>
      </c>
      <c r="L111" s="70">
        <f t="shared" si="46"/>
        <v>152666975.07900795</v>
      </c>
      <c r="M111" s="70">
        <f t="shared" si="46"/>
        <v>26009530.639999997</v>
      </c>
      <c r="N111" s="70">
        <f t="shared" si="46"/>
        <v>126657444.439008</v>
      </c>
      <c r="O111" s="70">
        <f t="shared" si="46"/>
        <v>3912105.3600000003</v>
      </c>
      <c r="P111" s="70">
        <f t="shared" si="46"/>
        <v>0</v>
      </c>
      <c r="Q111" s="70">
        <f t="shared" si="46"/>
        <v>122745339.07900801</v>
      </c>
      <c r="T111" s="451"/>
    </row>
    <row r="112" spans="1:20">
      <c r="A112" s="150" t="s">
        <v>355</v>
      </c>
      <c r="B112" s="48"/>
      <c r="C112" s="48"/>
      <c r="D112" s="43"/>
      <c r="E112" s="173"/>
      <c r="F112" s="64">
        <v>15829020641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T112" s="450"/>
    </row>
    <row r="113" spans="1:20">
      <c r="A113" s="151" t="s">
        <v>30</v>
      </c>
      <c r="B113" s="51"/>
      <c r="C113" s="51"/>
      <c r="D113" s="52"/>
      <c r="E113" s="203"/>
      <c r="F113" s="152">
        <f>(F111-ROUND(J104/B104*100,0))-F112</f>
        <v>82135647.230964661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T113" s="450"/>
    </row>
    <row r="114" spans="1:20">
      <c r="A114" s="54" t="s">
        <v>233</v>
      </c>
      <c r="B114" s="51"/>
      <c r="C114" s="51"/>
      <c r="D114" s="52"/>
      <c r="E114" s="203"/>
      <c r="F114" s="52"/>
      <c r="G114" s="64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1:20">
      <c r="A115" s="47"/>
      <c r="B115" s="48"/>
      <c r="C115" s="48"/>
      <c r="D115" s="43"/>
      <c r="E115" s="65">
        <v>267909910</v>
      </c>
      <c r="F115" s="43"/>
      <c r="G115" s="53"/>
      <c r="H115" s="53"/>
      <c r="I115" s="53"/>
      <c r="J115" s="95">
        <f>J116/B116*100</f>
        <v>325256569.07689101</v>
      </c>
      <c r="K115" s="53"/>
      <c r="L115" s="53"/>
      <c r="M115" s="53"/>
      <c r="N115" s="53"/>
      <c r="O115" s="53"/>
      <c r="P115" s="53"/>
      <c r="Q115" s="53"/>
    </row>
    <row r="116" spans="1:20">
      <c r="A116" s="49" t="s">
        <v>15</v>
      </c>
      <c r="B116" s="550">
        <v>0.95979999999999999</v>
      </c>
      <c r="C116" s="48">
        <v>0</v>
      </c>
      <c r="D116" s="43">
        <v>39093</v>
      </c>
      <c r="E116" s="173">
        <f>G116/B116*100</f>
        <v>23661392.998541363</v>
      </c>
      <c r="F116" s="43">
        <v>5693040358</v>
      </c>
      <c r="G116" s="53">
        <v>227102.05</v>
      </c>
      <c r="H116" s="53">
        <v>54414699.579999998</v>
      </c>
      <c r="I116" s="53">
        <v>0</v>
      </c>
      <c r="J116" s="53">
        <v>3121812.55</v>
      </c>
      <c r="K116" s="53">
        <v>195.3</v>
      </c>
      <c r="L116" s="53">
        <f>G116+H116+I116-J116+K116</f>
        <v>51520184.379999995</v>
      </c>
      <c r="M116" s="53">
        <v>10559450.25</v>
      </c>
      <c r="N116" s="53">
        <f>L116-M116</f>
        <v>40960734.129999995</v>
      </c>
      <c r="O116" s="53">
        <v>2115832.46</v>
      </c>
      <c r="P116" s="53">
        <v>0</v>
      </c>
      <c r="Q116" s="53">
        <f>N116-O116-P116</f>
        <v>38844901.669999994</v>
      </c>
    </row>
    <row r="117" spans="1:20">
      <c r="A117" s="47" t="s">
        <v>16</v>
      </c>
      <c r="B117" s="48">
        <f>B116</f>
        <v>0.95979999999999999</v>
      </c>
      <c r="C117" s="48">
        <f>C116</f>
        <v>0</v>
      </c>
      <c r="D117" s="43"/>
      <c r="E117" s="173"/>
      <c r="F117" s="65">
        <f>IF(E115&gt;E116,E115-E116,0)</f>
        <v>244248517.00145864</v>
      </c>
      <c r="G117" s="53">
        <f>F117*(B117-C117)/100</f>
        <v>2344297.2661799998</v>
      </c>
      <c r="H117" s="53"/>
      <c r="I117" s="53">
        <f>F117*C117/100</f>
        <v>0</v>
      </c>
      <c r="J117" s="53"/>
      <c r="K117" s="53"/>
      <c r="L117" s="53">
        <f>G117+H117+I117-J117+K117</f>
        <v>2344297.2661799998</v>
      </c>
      <c r="M117" s="53"/>
      <c r="N117" s="53">
        <f>L117-M117</f>
        <v>2344297.2661799998</v>
      </c>
      <c r="O117" s="53"/>
      <c r="P117" s="53"/>
      <c r="Q117" s="53">
        <f>N117-O117-P117</f>
        <v>2344297.2661799998</v>
      </c>
    </row>
    <row r="118" spans="1:20">
      <c r="A118" s="47" t="s">
        <v>17</v>
      </c>
      <c r="B118" s="48">
        <f>B116</f>
        <v>0.95979999999999999</v>
      </c>
      <c r="C118" s="48">
        <f>C116</f>
        <v>0</v>
      </c>
      <c r="D118" s="43"/>
      <c r="E118" s="173"/>
      <c r="F118" s="66">
        <v>121453361</v>
      </c>
      <c r="G118" s="53"/>
      <c r="H118" s="53">
        <f>F118*(B118-C118)/100</f>
        <v>1165709.3588779999</v>
      </c>
      <c r="I118" s="53">
        <f>F118*C118/100</f>
        <v>0</v>
      </c>
      <c r="J118" s="53">
        <v>0</v>
      </c>
      <c r="K118" s="53">
        <v>0</v>
      </c>
      <c r="L118" s="53">
        <f>G118+H118+I118-J118+K118</f>
        <v>1165709.3588779999</v>
      </c>
      <c r="M118" s="53">
        <v>0</v>
      </c>
      <c r="N118" s="53">
        <f>L118-M118</f>
        <v>1165709.3588779999</v>
      </c>
      <c r="O118" s="53">
        <v>0</v>
      </c>
      <c r="P118" s="53">
        <v>0</v>
      </c>
      <c r="Q118" s="53">
        <f>N118-O118-P118</f>
        <v>1165709.3588779999</v>
      </c>
    </row>
    <row r="119" spans="1:20">
      <c r="A119" s="47" t="s">
        <v>18</v>
      </c>
      <c r="B119" s="48"/>
      <c r="C119" s="48"/>
      <c r="D119" s="43"/>
      <c r="E119" s="173"/>
      <c r="F119" s="4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</row>
    <row r="120" spans="1:20">
      <c r="A120" s="67" t="s">
        <v>19</v>
      </c>
      <c r="B120" s="48">
        <f>B116</f>
        <v>0.95979999999999999</v>
      </c>
      <c r="C120" s="48">
        <f>C116</f>
        <v>0</v>
      </c>
      <c r="D120" s="43"/>
      <c r="E120" s="173"/>
      <c r="F120" s="43">
        <v>57855220.560000002</v>
      </c>
      <c r="G120" s="53">
        <v>278427.21000000002</v>
      </c>
      <c r="H120" s="53">
        <v>277107.68</v>
      </c>
      <c r="I120" s="53">
        <v>0</v>
      </c>
      <c r="J120" s="53">
        <v>25053.37</v>
      </c>
      <c r="K120" s="53">
        <v>0</v>
      </c>
      <c r="L120" s="53">
        <f>G120+H120+I120-J120+K120</f>
        <v>530481.52</v>
      </c>
      <c r="M120" s="53">
        <v>15355.95</v>
      </c>
      <c r="N120" s="53">
        <f>L120-M120</f>
        <v>515125.57</v>
      </c>
      <c r="O120" s="53">
        <v>45338.74</v>
      </c>
      <c r="P120" s="53">
        <v>0</v>
      </c>
      <c r="Q120" s="53">
        <f>N120-O120-P120</f>
        <v>469786.83</v>
      </c>
    </row>
    <row r="121" spans="1:20">
      <c r="A121" s="67" t="s">
        <v>20</v>
      </c>
      <c r="B121" s="48">
        <f>B116</f>
        <v>0.95979999999999999</v>
      </c>
      <c r="C121" s="48">
        <f>C116</f>
        <v>0</v>
      </c>
      <c r="D121" s="43"/>
      <c r="E121" s="173"/>
      <c r="F121" s="43">
        <v>7341791.4500000002</v>
      </c>
      <c r="G121" s="53">
        <v>68740.960000000006</v>
      </c>
      <c r="H121" s="53">
        <v>1725.41</v>
      </c>
      <c r="I121" s="53">
        <v>0</v>
      </c>
      <c r="J121" s="53">
        <v>0</v>
      </c>
      <c r="K121" s="53">
        <v>0</v>
      </c>
      <c r="L121" s="53">
        <f>G121+H121+I121-J121+K121</f>
        <v>70466.37000000001</v>
      </c>
      <c r="M121" s="53">
        <v>1.19</v>
      </c>
      <c r="N121" s="53">
        <f>L121-M121</f>
        <v>70465.180000000008</v>
      </c>
      <c r="O121" s="53">
        <v>9673.4599999999991</v>
      </c>
      <c r="P121" s="53">
        <v>0</v>
      </c>
      <c r="Q121" s="53">
        <f>N121-O121-P121</f>
        <v>60791.720000000008</v>
      </c>
    </row>
    <row r="122" spans="1:20">
      <c r="A122" s="47"/>
      <c r="B122" s="48"/>
      <c r="C122" s="48"/>
      <c r="D122" s="43"/>
      <c r="E122" s="173"/>
      <c r="F122" s="4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1:20" s="50" customFormat="1" ht="13.5" thickBot="1">
      <c r="A123" s="60" t="str">
        <f>"TOTAL "&amp;A114</f>
        <v>TOTAL CITY OF SPARKS</v>
      </c>
      <c r="B123" s="68">
        <f>B116</f>
        <v>0.95979999999999999</v>
      </c>
      <c r="C123" s="68">
        <f>C116</f>
        <v>0</v>
      </c>
      <c r="D123" s="69">
        <f t="shared" ref="D123:Q123" si="47">SUM(D116:D118,D120:D121)</f>
        <v>39093</v>
      </c>
      <c r="E123" s="204"/>
      <c r="F123" s="69">
        <f t="shared" si="47"/>
        <v>6123939248.0114594</v>
      </c>
      <c r="G123" s="70">
        <f t="shared" si="47"/>
        <v>2918567.4861799995</v>
      </c>
      <c r="H123" s="70">
        <f t="shared" si="47"/>
        <v>55859242.028877996</v>
      </c>
      <c r="I123" s="70">
        <f t="shared" si="47"/>
        <v>0</v>
      </c>
      <c r="J123" s="70">
        <f t="shared" si="47"/>
        <v>3146865.92</v>
      </c>
      <c r="K123" s="70">
        <f t="shared" si="47"/>
        <v>195.3</v>
      </c>
      <c r="L123" s="70">
        <f t="shared" si="47"/>
        <v>55631138.895057999</v>
      </c>
      <c r="M123" s="70">
        <f t="shared" si="47"/>
        <v>10574807.389999999</v>
      </c>
      <c r="N123" s="70">
        <f t="shared" si="47"/>
        <v>45056331.505057998</v>
      </c>
      <c r="O123" s="70">
        <f t="shared" si="47"/>
        <v>2170844.66</v>
      </c>
      <c r="P123" s="70">
        <f t="shared" si="47"/>
        <v>0</v>
      </c>
      <c r="Q123" s="70">
        <f t="shared" si="47"/>
        <v>42885486.845057994</v>
      </c>
      <c r="T123" s="451"/>
    </row>
    <row r="124" spans="1:20">
      <c r="A124" s="150" t="s">
        <v>355</v>
      </c>
      <c r="B124" s="48"/>
      <c r="C124" s="48"/>
      <c r="D124" s="43"/>
      <c r="E124" s="173"/>
      <c r="F124" s="64">
        <v>5821498420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T124" s="450"/>
    </row>
    <row r="125" spans="1:20">
      <c r="A125" s="151" t="s">
        <v>30</v>
      </c>
      <c r="B125" s="51"/>
      <c r="C125" s="51"/>
      <c r="D125" s="52"/>
      <c r="E125" s="203"/>
      <c r="F125" s="152">
        <f>(F123-ROUND(J116/B116*100,0))-F124</f>
        <v>-22815740.988540649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T125" s="450"/>
    </row>
    <row r="126" spans="1:20">
      <c r="A126" s="54" t="s">
        <v>234</v>
      </c>
      <c r="B126" s="48"/>
      <c r="C126" s="48"/>
      <c r="D126" s="43"/>
      <c r="E126" s="173"/>
      <c r="F126" s="43"/>
      <c r="G126" s="64"/>
      <c r="H126" s="53"/>
      <c r="I126" s="53"/>
      <c r="J126" s="53"/>
      <c r="K126" s="53"/>
      <c r="L126" s="53"/>
      <c r="M126" s="53"/>
      <c r="N126" s="53"/>
      <c r="O126" s="53"/>
      <c r="P126" s="53"/>
      <c r="Q126" s="53"/>
    </row>
    <row r="127" spans="1:20">
      <c r="A127" s="47"/>
      <c r="B127" s="48"/>
      <c r="C127" s="48"/>
      <c r="D127" s="43"/>
      <c r="E127" s="65">
        <v>27394955</v>
      </c>
      <c r="F127" s="43"/>
      <c r="G127" s="53"/>
      <c r="H127" s="53"/>
      <c r="I127" s="53"/>
      <c r="J127" s="95">
        <f>J128/B128*100</f>
        <v>319617132.15258855</v>
      </c>
      <c r="K127" s="53"/>
      <c r="L127" s="53"/>
      <c r="M127" s="53"/>
      <c r="N127" s="53"/>
      <c r="O127" s="53"/>
      <c r="P127" s="53"/>
      <c r="Q127" s="53"/>
    </row>
    <row r="128" spans="1:20">
      <c r="A128" s="49" t="s">
        <v>15</v>
      </c>
      <c r="B128" s="475">
        <v>0.14680000000000001</v>
      </c>
      <c r="C128" s="48">
        <v>0</v>
      </c>
      <c r="D128" s="43">
        <v>9386</v>
      </c>
      <c r="E128" s="173">
        <f>G128/B128*100</f>
        <v>1210647.1389645776</v>
      </c>
      <c r="F128" s="43">
        <v>3225425257</v>
      </c>
      <c r="G128" s="53">
        <v>1777.23</v>
      </c>
      <c r="H128" s="53">
        <v>4794430.5999999996</v>
      </c>
      <c r="I128" s="53">
        <v>0</v>
      </c>
      <c r="J128" s="53">
        <v>469197.95</v>
      </c>
      <c r="K128" s="53">
        <v>0</v>
      </c>
      <c r="L128" s="53">
        <f>G128+H128+I128-J128+K128</f>
        <v>4327009.88</v>
      </c>
      <c r="M128" s="53">
        <v>1850688.86</v>
      </c>
      <c r="N128" s="53">
        <f>L128-M128</f>
        <v>2476321.0199999996</v>
      </c>
      <c r="O128" s="53">
        <v>0</v>
      </c>
      <c r="P128" s="53">
        <v>0</v>
      </c>
      <c r="Q128" s="53">
        <f>N128-O128-P128</f>
        <v>2476321.0199999996</v>
      </c>
    </row>
    <row r="129" spans="1:20">
      <c r="A129" s="47" t="s">
        <v>16</v>
      </c>
      <c r="B129" s="475">
        <f>B128</f>
        <v>0.14680000000000001</v>
      </c>
      <c r="C129" s="48">
        <f>C128</f>
        <v>0</v>
      </c>
      <c r="D129" s="43"/>
      <c r="E129" s="173"/>
      <c r="F129" s="65">
        <f>IF(E127&gt;E128,E127-E128,0)</f>
        <v>26184307.861035421</v>
      </c>
      <c r="G129" s="53">
        <f>F129*(B129-C129)/100</f>
        <v>38438.56394</v>
      </c>
      <c r="H129" s="53"/>
      <c r="I129" s="53">
        <f>F129*C129/100</f>
        <v>0</v>
      </c>
      <c r="J129" s="53"/>
      <c r="K129" s="53"/>
      <c r="L129" s="53">
        <f>G129+H129+I129-J129+K129</f>
        <v>38438.56394</v>
      </c>
      <c r="M129" s="53"/>
      <c r="N129" s="53">
        <f>L129-M129</f>
        <v>38438.56394</v>
      </c>
      <c r="O129" s="53"/>
      <c r="P129" s="53"/>
      <c r="Q129" s="53">
        <f>N129-O129-P129</f>
        <v>38438.56394</v>
      </c>
    </row>
    <row r="130" spans="1:20">
      <c r="A130" s="47" t="s">
        <v>17</v>
      </c>
      <c r="B130" s="475">
        <f>B128</f>
        <v>0.14680000000000001</v>
      </c>
      <c r="C130" s="48">
        <f>C128</f>
        <v>0</v>
      </c>
      <c r="D130" s="43"/>
      <c r="E130" s="173"/>
      <c r="F130" s="66">
        <v>7957199</v>
      </c>
      <c r="G130" s="53"/>
      <c r="H130" s="53">
        <f>F130*(B130-C130)/100</f>
        <v>11681.168132000003</v>
      </c>
      <c r="I130" s="53">
        <f>F130*C130/100</f>
        <v>0</v>
      </c>
      <c r="J130" s="53">
        <v>0</v>
      </c>
      <c r="K130" s="53">
        <v>0</v>
      </c>
      <c r="L130" s="53">
        <f>G130+H130+I130-J130+K130</f>
        <v>11681.168132000003</v>
      </c>
      <c r="M130" s="53">
        <v>0</v>
      </c>
      <c r="N130" s="53">
        <f>L130-M130</f>
        <v>11681.168132000003</v>
      </c>
      <c r="O130" s="53">
        <v>0</v>
      </c>
      <c r="P130" s="53">
        <v>0</v>
      </c>
      <c r="Q130" s="53">
        <f>N130-O130-P130</f>
        <v>11681.168132000003</v>
      </c>
    </row>
    <row r="131" spans="1:20">
      <c r="A131" s="47" t="s">
        <v>18</v>
      </c>
      <c r="B131" s="475"/>
      <c r="C131" s="48"/>
      <c r="D131" s="43"/>
      <c r="E131" s="173"/>
      <c r="F131" s="4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</row>
    <row r="132" spans="1:20">
      <c r="A132" s="67" t="s">
        <v>19</v>
      </c>
      <c r="B132" s="475">
        <f>B128</f>
        <v>0.14680000000000001</v>
      </c>
      <c r="C132" s="48">
        <f>C128</f>
        <v>0</v>
      </c>
      <c r="D132" s="43"/>
      <c r="E132" s="173"/>
      <c r="F132" s="43">
        <v>6780809.79</v>
      </c>
      <c r="G132" s="53">
        <v>369.87</v>
      </c>
      <c r="H132" s="53">
        <v>9713.83</v>
      </c>
      <c r="I132" s="53">
        <v>0</v>
      </c>
      <c r="J132" s="53">
        <v>423.33</v>
      </c>
      <c r="K132" s="53">
        <v>0</v>
      </c>
      <c r="L132" s="53">
        <f>G132+H132+I132-J132+K132</f>
        <v>9660.3700000000008</v>
      </c>
      <c r="M132" s="53">
        <v>2311.63</v>
      </c>
      <c r="N132" s="53">
        <f>L132-M132</f>
        <v>7348.7400000000007</v>
      </c>
      <c r="O132" s="53">
        <v>0</v>
      </c>
      <c r="P132" s="53">
        <v>0</v>
      </c>
      <c r="Q132" s="53">
        <f>N132-O132-P132</f>
        <v>7348.7400000000007</v>
      </c>
    </row>
    <row r="133" spans="1:20">
      <c r="A133" s="67" t="s">
        <v>20</v>
      </c>
      <c r="B133" s="475">
        <f>B128</f>
        <v>0.14680000000000001</v>
      </c>
      <c r="C133" s="48">
        <f>C128</f>
        <v>0</v>
      </c>
      <c r="D133" s="43"/>
      <c r="E133" s="173"/>
      <c r="F133" s="43">
        <v>1671628.66</v>
      </c>
      <c r="G133" s="53">
        <v>2453.9499999999998</v>
      </c>
      <c r="H133" s="53">
        <v>0</v>
      </c>
      <c r="I133" s="53">
        <v>0</v>
      </c>
      <c r="J133" s="53">
        <v>0</v>
      </c>
      <c r="K133" s="53">
        <v>0</v>
      </c>
      <c r="L133" s="53">
        <f>G133+H133+I133-J133+K133</f>
        <v>2453.9499999999998</v>
      </c>
      <c r="M133" s="53">
        <v>0</v>
      </c>
      <c r="N133" s="53">
        <f>L133-M133</f>
        <v>2453.9499999999998</v>
      </c>
      <c r="O133" s="53">
        <v>0</v>
      </c>
      <c r="P133" s="53">
        <v>0</v>
      </c>
      <c r="Q133" s="53">
        <f>N133-O133-P133</f>
        <v>2453.9499999999998</v>
      </c>
    </row>
    <row r="134" spans="1:20">
      <c r="A134" s="47"/>
      <c r="B134" s="475"/>
      <c r="C134" s="48"/>
      <c r="D134" s="43"/>
      <c r="E134" s="173"/>
      <c r="F134" s="4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pans="1:20" s="50" customFormat="1" ht="13.5" thickBot="1">
      <c r="A135" s="60" t="str">
        <f>"TOTAL "&amp;A126</f>
        <v>TOTAL INCLINE VILLAGE GID</v>
      </c>
      <c r="B135" s="477">
        <f>B128</f>
        <v>0.14680000000000001</v>
      </c>
      <c r="C135" s="68">
        <f>C128</f>
        <v>0</v>
      </c>
      <c r="D135" s="69">
        <f t="shared" ref="D135:Q135" si="48">SUM(D128:D130,D132:D133)</f>
        <v>9386</v>
      </c>
      <c r="E135" s="204"/>
      <c r="F135" s="69">
        <f t="shared" si="48"/>
        <v>3268019202.3110352</v>
      </c>
      <c r="G135" s="70">
        <f t="shared" si="48"/>
        <v>43039.613940000003</v>
      </c>
      <c r="H135" s="70">
        <f t="shared" si="48"/>
        <v>4815825.5981319994</v>
      </c>
      <c r="I135" s="70">
        <f t="shared" si="48"/>
        <v>0</v>
      </c>
      <c r="J135" s="70">
        <f t="shared" si="48"/>
        <v>469621.28</v>
      </c>
      <c r="K135" s="70">
        <f>SUM(K128:K130,K132:K133)</f>
        <v>0</v>
      </c>
      <c r="L135" s="70">
        <f t="shared" si="48"/>
        <v>4389243.9320719996</v>
      </c>
      <c r="M135" s="70">
        <f t="shared" si="48"/>
        <v>1853000.49</v>
      </c>
      <c r="N135" s="70">
        <f t="shared" si="48"/>
        <v>2536243.4420719999</v>
      </c>
      <c r="O135" s="70">
        <f t="shared" si="48"/>
        <v>0</v>
      </c>
      <c r="P135" s="70">
        <f t="shared" si="48"/>
        <v>0</v>
      </c>
      <c r="Q135" s="70">
        <f t="shared" si="48"/>
        <v>2536243.4420719999</v>
      </c>
      <c r="T135" s="451"/>
    </row>
    <row r="136" spans="1:20">
      <c r="A136" s="150" t="s">
        <v>355</v>
      </c>
      <c r="B136" s="48"/>
      <c r="C136" s="48"/>
      <c r="D136" s="43"/>
      <c r="E136" s="173"/>
      <c r="F136" s="64">
        <v>2809965863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T136" s="450"/>
    </row>
    <row r="137" spans="1:20">
      <c r="A137" s="151" t="s">
        <v>30</v>
      </c>
      <c r="B137" s="51"/>
      <c r="C137" s="51"/>
      <c r="D137" s="52"/>
      <c r="E137" s="203"/>
      <c r="F137" s="152">
        <f>(F135-ROUND(J128/B128*100,0))-F136</f>
        <v>138436207.31103516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T137" s="450"/>
    </row>
    <row r="138" spans="1:20" hidden="1">
      <c r="A138" s="54" t="s">
        <v>235</v>
      </c>
      <c r="B138" s="48"/>
      <c r="C138" s="48"/>
      <c r="D138" s="43"/>
      <c r="E138" s="173"/>
      <c r="F138" s="43"/>
      <c r="G138" s="64"/>
      <c r="H138" s="53"/>
      <c r="I138" s="53"/>
      <c r="J138" s="53"/>
      <c r="K138" s="53"/>
      <c r="L138" s="53"/>
      <c r="M138" s="53"/>
      <c r="N138" s="53"/>
      <c r="O138" s="53"/>
      <c r="P138" s="53"/>
      <c r="Q138" s="53"/>
    </row>
    <row r="139" spans="1:20" hidden="1">
      <c r="A139" s="47"/>
      <c r="B139" s="48"/>
      <c r="C139" s="48"/>
      <c r="D139" s="43"/>
      <c r="E139" s="173"/>
      <c r="F139" s="4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</row>
    <row r="140" spans="1:20" hidden="1">
      <c r="A140" s="49" t="s">
        <v>15</v>
      </c>
      <c r="B140" s="48"/>
      <c r="C140" s="48"/>
      <c r="D140" s="43"/>
      <c r="E140" s="173"/>
      <c r="F140" s="43"/>
      <c r="G140" s="53"/>
      <c r="H140" s="53"/>
      <c r="I140" s="53"/>
      <c r="J140" s="53"/>
      <c r="K140" s="53"/>
      <c r="L140" s="53">
        <f>G140+H140+I140-J140+K140</f>
        <v>0</v>
      </c>
      <c r="M140" s="53"/>
      <c r="N140" s="53">
        <f>L140-M140</f>
        <v>0</v>
      </c>
      <c r="O140" s="53"/>
      <c r="P140" s="53"/>
      <c r="Q140" s="53">
        <f>N140-O140-P140</f>
        <v>0</v>
      </c>
    </row>
    <row r="141" spans="1:20" hidden="1">
      <c r="A141" s="47" t="s">
        <v>16</v>
      </c>
      <c r="B141" s="48">
        <f>B140</f>
        <v>0</v>
      </c>
      <c r="C141" s="48">
        <f>C140</f>
        <v>0</v>
      </c>
      <c r="D141" s="43"/>
      <c r="E141" s="173"/>
      <c r="F141" s="65"/>
      <c r="G141" s="53">
        <f>F141*(B141-C141)/100</f>
        <v>0</v>
      </c>
      <c r="H141" s="53"/>
      <c r="I141" s="53">
        <f>F141*C141/100</f>
        <v>0</v>
      </c>
      <c r="J141" s="53"/>
      <c r="K141" s="53"/>
      <c r="L141" s="53">
        <f>G141+H141+I141-J141+K141</f>
        <v>0</v>
      </c>
      <c r="M141" s="53"/>
      <c r="N141" s="53">
        <f>L141-M141</f>
        <v>0</v>
      </c>
      <c r="O141" s="53"/>
      <c r="P141" s="53"/>
      <c r="Q141" s="53">
        <f>N141-O141-P141</f>
        <v>0</v>
      </c>
    </row>
    <row r="142" spans="1:20" hidden="1">
      <c r="A142" s="47" t="s">
        <v>17</v>
      </c>
      <c r="B142" s="48">
        <f>B140</f>
        <v>0</v>
      </c>
      <c r="C142" s="48">
        <f>C140</f>
        <v>0</v>
      </c>
      <c r="D142" s="43"/>
      <c r="E142" s="173"/>
      <c r="F142" s="66"/>
      <c r="G142" s="53"/>
      <c r="H142" s="53">
        <f>F142*(B142-C142)/100</f>
        <v>0</v>
      </c>
      <c r="I142" s="53">
        <f>F142*C142/100</f>
        <v>0</v>
      </c>
      <c r="J142" s="53"/>
      <c r="K142" s="53"/>
      <c r="L142" s="53">
        <f>G142+H142+I142-J142+K142</f>
        <v>0</v>
      </c>
      <c r="M142" s="53"/>
      <c r="N142" s="53">
        <f>L142-M142</f>
        <v>0</v>
      </c>
      <c r="O142" s="53"/>
      <c r="P142" s="53"/>
      <c r="Q142" s="53">
        <f>N142-O142-P142</f>
        <v>0</v>
      </c>
    </row>
    <row r="143" spans="1:20" hidden="1">
      <c r="A143" s="47" t="s">
        <v>18</v>
      </c>
      <c r="B143" s="48"/>
      <c r="C143" s="48"/>
      <c r="D143" s="43"/>
      <c r="E143" s="173"/>
      <c r="F143" s="4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1:20" hidden="1">
      <c r="A144" s="67" t="s">
        <v>19</v>
      </c>
      <c r="B144" s="48">
        <f>B140</f>
        <v>0</v>
      </c>
      <c r="C144" s="48">
        <f>C140</f>
        <v>0</v>
      </c>
      <c r="D144" s="43"/>
      <c r="E144" s="173"/>
      <c r="F144" s="43"/>
      <c r="G144" s="53"/>
      <c r="H144" s="53"/>
      <c r="I144" s="53"/>
      <c r="J144" s="53"/>
      <c r="K144" s="53"/>
      <c r="L144" s="53">
        <f>G144+H144+I144-J144+K144</f>
        <v>0</v>
      </c>
      <c r="M144" s="53"/>
      <c r="N144" s="53">
        <f>L144-M144</f>
        <v>0</v>
      </c>
      <c r="O144" s="53"/>
      <c r="P144" s="53"/>
      <c r="Q144" s="53">
        <f>N144-O144-P144</f>
        <v>0</v>
      </c>
    </row>
    <row r="145" spans="1:20" hidden="1">
      <c r="A145" s="67" t="s">
        <v>20</v>
      </c>
      <c r="B145" s="48">
        <f>B140</f>
        <v>0</v>
      </c>
      <c r="C145" s="48">
        <f>C140</f>
        <v>0</v>
      </c>
      <c r="D145" s="43"/>
      <c r="E145" s="173"/>
      <c r="F145" s="43"/>
      <c r="G145" s="53"/>
      <c r="H145" s="53"/>
      <c r="I145" s="53"/>
      <c r="J145" s="53"/>
      <c r="K145" s="53"/>
      <c r="L145" s="53">
        <f>G145+H145+I145-J145+K145</f>
        <v>0</v>
      </c>
      <c r="M145" s="53"/>
      <c r="N145" s="53">
        <f>L145-M145</f>
        <v>0</v>
      </c>
      <c r="O145" s="53"/>
      <c r="P145" s="53"/>
      <c r="Q145" s="53">
        <f>N145-O145-P145</f>
        <v>0</v>
      </c>
    </row>
    <row r="146" spans="1:20" hidden="1">
      <c r="A146" s="47"/>
      <c r="B146" s="48"/>
      <c r="C146" s="48"/>
      <c r="D146" s="43"/>
      <c r="E146" s="173"/>
      <c r="F146" s="4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1:20" s="50" customFormat="1" ht="13.5" hidden="1" thickBot="1">
      <c r="A147" s="60" t="s">
        <v>254</v>
      </c>
      <c r="B147" s="68">
        <f>B140</f>
        <v>0</v>
      </c>
      <c r="C147" s="68">
        <f>C140</f>
        <v>0</v>
      </c>
      <c r="D147" s="69">
        <f t="shared" ref="D147:Q147" si="49">SUM(D140:D142,D144:D145)</f>
        <v>0</v>
      </c>
      <c r="E147" s="204"/>
      <c r="F147" s="69">
        <f t="shared" si="49"/>
        <v>0</v>
      </c>
      <c r="G147" s="70">
        <f t="shared" si="49"/>
        <v>0</v>
      </c>
      <c r="H147" s="70">
        <f t="shared" si="49"/>
        <v>0</v>
      </c>
      <c r="I147" s="70">
        <f t="shared" si="49"/>
        <v>0</v>
      </c>
      <c r="J147" s="70">
        <f t="shared" si="49"/>
        <v>0</v>
      </c>
      <c r="K147" s="70">
        <f t="shared" si="49"/>
        <v>0</v>
      </c>
      <c r="L147" s="70">
        <f t="shared" si="49"/>
        <v>0</v>
      </c>
      <c r="M147" s="70">
        <f t="shared" si="49"/>
        <v>0</v>
      </c>
      <c r="N147" s="70">
        <f t="shared" si="49"/>
        <v>0</v>
      </c>
      <c r="O147" s="70">
        <f t="shared" si="49"/>
        <v>0</v>
      </c>
      <c r="P147" s="70">
        <f t="shared" si="49"/>
        <v>0</v>
      </c>
      <c r="Q147" s="70">
        <f t="shared" si="49"/>
        <v>0</v>
      </c>
      <c r="T147" s="451"/>
    </row>
    <row r="148" spans="1:20" hidden="1">
      <c r="A148" s="150" t="s">
        <v>355</v>
      </c>
      <c r="B148" s="48"/>
      <c r="C148" s="48"/>
      <c r="D148" s="43"/>
      <c r="E148" s="173"/>
      <c r="F148" s="64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T148" s="450"/>
    </row>
    <row r="149" spans="1:20" hidden="1">
      <c r="A149" s="151" t="s">
        <v>30</v>
      </c>
      <c r="B149" s="51"/>
      <c r="C149" s="51"/>
      <c r="D149" s="52"/>
      <c r="E149" s="203"/>
      <c r="F149" s="152" t="e">
        <f>(F147-ROUND(J147/B147,0))-F148</f>
        <v>#DIV/0!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T149" s="450"/>
    </row>
    <row r="150" spans="1:20">
      <c r="A150" s="54" t="s">
        <v>236</v>
      </c>
      <c r="G150" s="64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1:20">
      <c r="E151" s="65">
        <v>27404703</v>
      </c>
      <c r="F151" s="53">
        <f>F152*B152/100</f>
        <v>21862413.321252</v>
      </c>
      <c r="G151" s="53"/>
      <c r="H151" s="53"/>
      <c r="I151" s="53"/>
      <c r="J151" s="95"/>
      <c r="K151" s="53"/>
      <c r="L151" s="53"/>
      <c r="M151" s="53"/>
      <c r="N151" s="53"/>
      <c r="O151" s="53"/>
      <c r="P151" s="53"/>
      <c r="Q151" s="53"/>
    </row>
    <row r="152" spans="1:20">
      <c r="A152" s="49" t="s">
        <v>15</v>
      </c>
      <c r="B152" s="550">
        <v>0.67479999999999996</v>
      </c>
      <c r="C152" s="48">
        <v>0</v>
      </c>
      <c r="D152" s="43">
        <v>9430</v>
      </c>
      <c r="E152" s="173">
        <f>G152/B152*100</f>
        <v>1195167.4570243037</v>
      </c>
      <c r="F152" s="43">
        <v>3239835999</v>
      </c>
      <c r="G152" s="53">
        <v>8064.99</v>
      </c>
      <c r="H152" s="53">
        <v>21854350.800000001</v>
      </c>
      <c r="I152" s="53">
        <v>0</v>
      </c>
      <c r="J152" s="53">
        <v>2226318.48</v>
      </c>
      <c r="K152" s="53">
        <v>0</v>
      </c>
      <c r="L152" s="53">
        <f>G152+H152+I152-J152+K152</f>
        <v>19636097.309999999</v>
      </c>
      <c r="M152" s="53">
        <v>6444098.9100000001</v>
      </c>
      <c r="N152" s="53">
        <f>L152-M152</f>
        <v>13191998.399999999</v>
      </c>
      <c r="O152" s="53">
        <v>0</v>
      </c>
      <c r="P152" s="53">
        <v>0</v>
      </c>
      <c r="Q152" s="53">
        <f>N152-O152-P152</f>
        <v>13191998.399999999</v>
      </c>
    </row>
    <row r="153" spans="1:20">
      <c r="A153" s="47" t="s">
        <v>16</v>
      </c>
      <c r="B153" s="550">
        <f>B152</f>
        <v>0.67479999999999996</v>
      </c>
      <c r="C153" s="48">
        <f>C152</f>
        <v>0</v>
      </c>
      <c r="D153" s="43"/>
      <c r="E153" s="173"/>
      <c r="F153" s="65">
        <f>IF(E151&gt;E152,E151-E152,0)</f>
        <v>26209535.542975698</v>
      </c>
      <c r="G153" s="53">
        <f>F153*(B153-C153)/100</f>
        <v>176861.94584399997</v>
      </c>
      <c r="H153" s="53"/>
      <c r="I153" s="53">
        <f>F153*C153/100</f>
        <v>0</v>
      </c>
      <c r="J153" s="53"/>
      <c r="K153" s="53"/>
      <c r="L153" s="53">
        <f>G153+H153+I153-J153+K153</f>
        <v>176861.94584399997</v>
      </c>
      <c r="M153" s="53"/>
      <c r="N153" s="53">
        <f>L153-M153</f>
        <v>176861.94584399997</v>
      </c>
      <c r="O153" s="53"/>
      <c r="P153" s="53"/>
      <c r="Q153" s="53">
        <f>N153-O153-P153</f>
        <v>176861.94584399997</v>
      </c>
    </row>
    <row r="154" spans="1:20">
      <c r="A154" s="47" t="s">
        <v>17</v>
      </c>
      <c r="B154" s="550">
        <f>B152</f>
        <v>0.67479999999999996</v>
      </c>
      <c r="C154" s="48">
        <f>C152</f>
        <v>0</v>
      </c>
      <c r="D154" s="43"/>
      <c r="E154" s="173"/>
      <c r="F154" s="66">
        <v>7947451</v>
      </c>
      <c r="G154" s="53"/>
      <c r="H154" s="53">
        <f>F154*(B154-C154)/100</f>
        <v>53629.399347999999</v>
      </c>
      <c r="I154" s="53">
        <f>F154*C154/100</f>
        <v>0</v>
      </c>
      <c r="J154" s="53">
        <v>0</v>
      </c>
      <c r="K154" s="53">
        <v>0</v>
      </c>
      <c r="L154" s="53">
        <f>G154+H154+I154-J154+K154</f>
        <v>53629.399347999999</v>
      </c>
      <c r="M154" s="53">
        <v>0</v>
      </c>
      <c r="N154" s="53">
        <f>L154-M154</f>
        <v>53629.399347999999</v>
      </c>
      <c r="O154" s="53">
        <v>0</v>
      </c>
      <c r="P154" s="53">
        <v>0</v>
      </c>
      <c r="Q154" s="53">
        <f>N154-O154-P154</f>
        <v>53629.399347999999</v>
      </c>
    </row>
    <row r="155" spans="1:20">
      <c r="A155" s="47" t="s">
        <v>18</v>
      </c>
      <c r="B155" s="550"/>
      <c r="C155" s="48"/>
      <c r="D155" s="43"/>
      <c r="E155" s="173"/>
      <c r="F155" s="43"/>
      <c r="G155" s="53"/>
      <c r="H155" s="53"/>
      <c r="I155" s="53"/>
      <c r="J155" s="53"/>
      <c r="K155" s="53"/>
      <c r="L155" s="53">
        <f t="shared" ref="L155:L156" si="50">G155+H155+I155-J155+K155</f>
        <v>0</v>
      </c>
      <c r="M155" s="53"/>
      <c r="N155" s="53"/>
      <c r="O155" s="53"/>
      <c r="P155" s="53"/>
      <c r="Q155" s="53"/>
    </row>
    <row r="156" spans="1:20">
      <c r="A156" s="67" t="s">
        <v>19</v>
      </c>
      <c r="B156" s="550">
        <f>B152</f>
        <v>0.67479999999999996</v>
      </c>
      <c r="C156" s="48">
        <f>C152</f>
        <v>0</v>
      </c>
      <c r="D156" s="43"/>
      <c r="E156" s="173"/>
      <c r="F156" s="43">
        <v>32714833.52</v>
      </c>
      <c r="G156" s="53">
        <v>5302.71</v>
      </c>
      <c r="H156" s="53">
        <v>215470.02</v>
      </c>
      <c r="I156" s="53">
        <v>0</v>
      </c>
      <c r="J156" s="53">
        <v>1931.88</v>
      </c>
      <c r="K156" s="53">
        <v>0</v>
      </c>
      <c r="L156" s="53">
        <f t="shared" si="50"/>
        <v>218840.84999999998</v>
      </c>
      <c r="M156" s="53">
        <v>2351.4299999999998</v>
      </c>
      <c r="N156" s="53">
        <f>L156-M156</f>
        <v>216489.41999999998</v>
      </c>
      <c r="O156" s="53">
        <v>0</v>
      </c>
      <c r="P156" s="53">
        <v>0</v>
      </c>
      <c r="Q156" s="53">
        <f>N156-O156-P156</f>
        <v>216489.41999999998</v>
      </c>
    </row>
    <row r="157" spans="1:20">
      <c r="A157" s="67" t="s">
        <v>20</v>
      </c>
      <c r="B157" s="550">
        <f>B152</f>
        <v>0.67479999999999996</v>
      </c>
      <c r="C157" s="48">
        <f>C152</f>
        <v>0</v>
      </c>
      <c r="D157" s="43"/>
      <c r="E157" s="173"/>
      <c r="F157" s="43">
        <v>3217970.9</v>
      </c>
      <c r="G157" s="53">
        <v>21714.87</v>
      </c>
      <c r="H157" s="53">
        <v>0</v>
      </c>
      <c r="I157" s="53">
        <v>0</v>
      </c>
      <c r="J157" s="53">
        <v>0</v>
      </c>
      <c r="K157" s="53">
        <v>0</v>
      </c>
      <c r="L157" s="53">
        <f>G157+H157+I157-J157+K157</f>
        <v>21714.87</v>
      </c>
      <c r="M157" s="53">
        <v>0</v>
      </c>
      <c r="N157" s="53">
        <f>L157-M157</f>
        <v>21714.87</v>
      </c>
      <c r="O157" s="53">
        <v>0</v>
      </c>
      <c r="P157" s="53">
        <v>0</v>
      </c>
      <c r="Q157" s="53">
        <f>N157-O157-P157</f>
        <v>21714.87</v>
      </c>
    </row>
    <row r="158" spans="1:20">
      <c r="A158" s="47"/>
      <c r="B158" s="550"/>
      <c r="C158" s="48"/>
      <c r="D158" s="43"/>
      <c r="E158" s="173"/>
      <c r="F158" s="4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1:20" s="50" customFormat="1" ht="13.5" thickBot="1">
      <c r="A159" s="60" t="str">
        <f>"TOTAL "&amp;A150</f>
        <v>TOTAL NO LAKE TAHOE FIRE PROTECTION DISTRICT</v>
      </c>
      <c r="B159" s="554">
        <f>B152</f>
        <v>0.67479999999999996</v>
      </c>
      <c r="C159" s="68">
        <f>C152</f>
        <v>0</v>
      </c>
      <c r="D159" s="69">
        <f t="shared" ref="D159:Q159" si="51">SUM(D152:D154,D156:D157)</f>
        <v>9430</v>
      </c>
      <c r="E159" s="204"/>
      <c r="F159" s="69">
        <f t="shared" si="51"/>
        <v>3309925789.962976</v>
      </c>
      <c r="G159" s="70">
        <f t="shared" si="51"/>
        <v>211944.51584399995</v>
      </c>
      <c r="H159" s="70">
        <f t="shared" si="51"/>
        <v>22123450.219347998</v>
      </c>
      <c r="I159" s="70">
        <f t="shared" si="51"/>
        <v>0</v>
      </c>
      <c r="J159" s="70">
        <f t="shared" si="51"/>
        <v>2228250.36</v>
      </c>
      <c r="K159" s="70">
        <f t="shared" si="51"/>
        <v>0</v>
      </c>
      <c r="L159" s="70">
        <f t="shared" si="51"/>
        <v>20107144.375191998</v>
      </c>
      <c r="M159" s="70">
        <f t="shared" si="51"/>
        <v>6446450.3399999999</v>
      </c>
      <c r="N159" s="70">
        <f t="shared" si="51"/>
        <v>13660694.035191998</v>
      </c>
      <c r="O159" s="70">
        <f t="shared" si="51"/>
        <v>0</v>
      </c>
      <c r="P159" s="70">
        <f t="shared" si="51"/>
        <v>0</v>
      </c>
      <c r="Q159" s="70">
        <f t="shared" si="51"/>
        <v>13660694.035191998</v>
      </c>
      <c r="T159" s="451"/>
    </row>
    <row r="160" spans="1:20">
      <c r="A160" s="150" t="s">
        <v>355</v>
      </c>
      <c r="B160" s="48"/>
      <c r="C160" s="48"/>
      <c r="D160" s="43"/>
      <c r="E160" s="173"/>
      <c r="F160" s="64">
        <v>2837477801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T160" s="450"/>
    </row>
    <row r="161" spans="1:20">
      <c r="A161" s="151" t="s">
        <v>30</v>
      </c>
      <c r="B161" s="51"/>
      <c r="C161" s="51"/>
      <c r="D161" s="52"/>
      <c r="E161" s="203"/>
      <c r="F161" s="152">
        <f>(F159-ROUND(J152/B152*100,0))-F160</f>
        <v>142525273.96297598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T161" s="450"/>
    </row>
    <row r="162" spans="1:20">
      <c r="A162" s="54" t="s">
        <v>237</v>
      </c>
      <c r="B162" s="84"/>
      <c r="C162" s="84"/>
      <c r="D162" s="84"/>
      <c r="E162" s="210"/>
      <c r="F162" s="84"/>
      <c r="G162" s="64"/>
      <c r="H162" s="53"/>
      <c r="I162" s="53"/>
      <c r="J162" s="53"/>
      <c r="K162" s="53"/>
      <c r="L162" s="53"/>
      <c r="M162" s="53"/>
      <c r="N162" s="53"/>
      <c r="O162" s="53"/>
      <c r="P162" s="53"/>
      <c r="Q162" s="53"/>
    </row>
    <row r="163" spans="1:20">
      <c r="A163" s="83"/>
      <c r="B163" s="84"/>
      <c r="C163" s="84"/>
      <c r="D163" s="84"/>
      <c r="E163" s="65">
        <v>1930423</v>
      </c>
      <c r="F163" s="53">
        <f>F164*B164/100</f>
        <v>557805.85801600001</v>
      </c>
      <c r="G163" s="59"/>
      <c r="H163" s="53"/>
      <c r="I163" s="53"/>
      <c r="J163" s="95">
        <f>J164/B164*100</f>
        <v>1977374.9404478325</v>
      </c>
      <c r="K163" s="53"/>
      <c r="L163" s="53"/>
      <c r="M163" s="53"/>
      <c r="N163" s="53"/>
      <c r="O163" s="53"/>
      <c r="P163" s="53"/>
      <c r="Q163" s="53"/>
    </row>
    <row r="164" spans="1:20">
      <c r="A164" s="49" t="s">
        <v>15</v>
      </c>
      <c r="B164" s="48">
        <v>0.41980000000000001</v>
      </c>
      <c r="C164" s="48">
        <v>0</v>
      </c>
      <c r="D164" s="43">
        <v>1516</v>
      </c>
      <c r="E164" s="173">
        <f>G164/B164*100</f>
        <v>190223.91615054788</v>
      </c>
      <c r="F164" s="43">
        <v>132874192</v>
      </c>
      <c r="G164" s="53">
        <v>798.56</v>
      </c>
      <c r="H164" s="53">
        <v>557006.64</v>
      </c>
      <c r="I164" s="53">
        <v>0</v>
      </c>
      <c r="J164" s="53">
        <v>8301.02</v>
      </c>
      <c r="K164" s="53">
        <v>0</v>
      </c>
      <c r="L164" s="53">
        <f>G164+H164+I164-J164+K164</f>
        <v>549504.18000000005</v>
      </c>
      <c r="M164" s="53">
        <v>154442.79</v>
      </c>
      <c r="N164" s="53">
        <f>L164-M164</f>
        <v>395061.39</v>
      </c>
      <c r="O164" s="53">
        <v>0</v>
      </c>
      <c r="P164" s="53">
        <v>0</v>
      </c>
      <c r="Q164" s="53">
        <f>N164-O164-P164</f>
        <v>395061.39</v>
      </c>
    </row>
    <row r="165" spans="1:20">
      <c r="A165" s="47" t="s">
        <v>16</v>
      </c>
      <c r="B165" s="48">
        <f>B164</f>
        <v>0.41980000000000001</v>
      </c>
      <c r="C165" s="48">
        <f>C164</f>
        <v>0</v>
      </c>
      <c r="D165" s="43"/>
      <c r="E165" s="173"/>
      <c r="F165" s="65">
        <f>IF(E163&gt;E164,E163-E164,0)</f>
        <v>1740199.0838494522</v>
      </c>
      <c r="G165" s="53">
        <f>F165*(B165-C165)/100</f>
        <v>7305.3557540000011</v>
      </c>
      <c r="H165" s="53"/>
      <c r="I165" s="53">
        <f>F165*C165/100</f>
        <v>0</v>
      </c>
      <c r="J165" s="53"/>
      <c r="K165" s="53"/>
      <c r="L165" s="53">
        <f>G165+H165+I165-J165+K165</f>
        <v>7305.3557540000011</v>
      </c>
      <c r="M165" s="53"/>
      <c r="N165" s="53">
        <f>L165-M165</f>
        <v>7305.3557540000011</v>
      </c>
      <c r="O165" s="53"/>
      <c r="P165" s="53"/>
      <c r="Q165" s="53">
        <f>N165-O165-P165</f>
        <v>7305.3557540000011</v>
      </c>
    </row>
    <row r="166" spans="1:20">
      <c r="A166" s="16" t="s">
        <v>17</v>
      </c>
      <c r="B166" s="48">
        <f>B164</f>
        <v>0.41980000000000001</v>
      </c>
      <c r="C166" s="48">
        <f>C164</f>
        <v>0</v>
      </c>
      <c r="D166" s="43"/>
      <c r="E166" s="173"/>
      <c r="F166" s="66">
        <v>1166974</v>
      </c>
      <c r="G166" s="53"/>
      <c r="H166" s="53">
        <f>F166*(B166-C166)/100</f>
        <v>4898.9568520000003</v>
      </c>
      <c r="I166" s="53">
        <f>F166*C166/100</f>
        <v>0</v>
      </c>
      <c r="J166" s="53">
        <v>0</v>
      </c>
      <c r="K166" s="53">
        <v>0</v>
      </c>
      <c r="L166" s="53">
        <f>G166+H166+I166-J166+K166</f>
        <v>4898.9568520000003</v>
      </c>
      <c r="M166" s="53">
        <v>0</v>
      </c>
      <c r="N166" s="53">
        <f>L166-M166</f>
        <v>4898.9568520000003</v>
      </c>
      <c r="O166" s="53">
        <v>0</v>
      </c>
      <c r="P166" s="53">
        <v>0</v>
      </c>
      <c r="Q166" s="53">
        <f>N166-O166-P166</f>
        <v>4898.9568520000003</v>
      </c>
    </row>
    <row r="167" spans="1:20">
      <c r="A167" s="47" t="s">
        <v>18</v>
      </c>
      <c r="B167" s="48"/>
      <c r="C167" s="48"/>
      <c r="D167" s="43"/>
      <c r="E167" s="173"/>
      <c r="F167" s="4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</row>
    <row r="168" spans="1:20">
      <c r="A168" s="67" t="s">
        <v>19</v>
      </c>
      <c r="B168" s="48">
        <f>B164</f>
        <v>0.41980000000000001</v>
      </c>
      <c r="C168" s="48">
        <f>C164</f>
        <v>0</v>
      </c>
      <c r="D168" s="43"/>
      <c r="E168" s="173"/>
      <c r="F168" s="43">
        <v>30382355.530000001</v>
      </c>
      <c r="G168" s="53">
        <v>1077.3499999999999</v>
      </c>
      <c r="H168" s="53">
        <v>126469.7</v>
      </c>
      <c r="I168" s="53">
        <v>0</v>
      </c>
      <c r="J168" s="53">
        <v>457.43</v>
      </c>
      <c r="K168" s="53">
        <v>0</v>
      </c>
      <c r="L168" s="53">
        <f>G168+H168+I168-J168+K168</f>
        <v>127089.62000000001</v>
      </c>
      <c r="M168" s="53">
        <v>206.29</v>
      </c>
      <c r="N168" s="53">
        <f>L168-M168</f>
        <v>126883.33000000002</v>
      </c>
      <c r="O168" s="53">
        <v>0</v>
      </c>
      <c r="P168" s="53">
        <v>0</v>
      </c>
      <c r="Q168" s="53">
        <f>N168-O168-P168</f>
        <v>126883.33000000002</v>
      </c>
    </row>
    <row r="169" spans="1:20">
      <c r="A169" s="67" t="s">
        <v>20</v>
      </c>
      <c r="B169" s="48">
        <f>B164</f>
        <v>0.41980000000000001</v>
      </c>
      <c r="C169" s="48">
        <f>C164</f>
        <v>0</v>
      </c>
      <c r="D169" s="43"/>
      <c r="E169" s="173"/>
      <c r="F169" s="43">
        <v>366572.38</v>
      </c>
      <c r="G169" s="53">
        <v>1538.87</v>
      </c>
      <c r="H169" s="53"/>
      <c r="I169" s="53">
        <v>0</v>
      </c>
      <c r="J169" s="53">
        <v>0</v>
      </c>
      <c r="K169" s="53">
        <v>0</v>
      </c>
      <c r="L169" s="53">
        <f>G169+H169+I169-J169+K169</f>
        <v>1538.87</v>
      </c>
      <c r="M169" s="53">
        <v>0</v>
      </c>
      <c r="N169" s="53">
        <f>L169-M169</f>
        <v>1538.87</v>
      </c>
      <c r="O169" s="53">
        <v>0</v>
      </c>
      <c r="P169" s="53">
        <v>0</v>
      </c>
      <c r="Q169" s="53">
        <f>N169-O169-P169</f>
        <v>1538.87</v>
      </c>
    </row>
    <row r="170" spans="1:20">
      <c r="A170" s="47"/>
      <c r="B170" s="48"/>
      <c r="C170" s="48"/>
      <c r="D170" s="43"/>
      <c r="E170" s="173"/>
      <c r="F170" s="4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</row>
    <row r="171" spans="1:20" s="50" customFormat="1" ht="13.5" thickBot="1">
      <c r="A171" s="60" t="str">
        <f>"TOTAL "&amp;A162</f>
        <v>TOTAL PALOMINO VALLEY GID</v>
      </c>
      <c r="B171" s="68">
        <f>B164</f>
        <v>0.41980000000000001</v>
      </c>
      <c r="C171" s="68">
        <f>C164</f>
        <v>0</v>
      </c>
      <c r="D171" s="69">
        <f t="shared" ref="D171:Q171" si="52">SUM(D164:D166,D168:D169)</f>
        <v>1516</v>
      </c>
      <c r="E171" s="204"/>
      <c r="F171" s="69">
        <f t="shared" si="52"/>
        <v>166530292.99384946</v>
      </c>
      <c r="G171" s="70">
        <f t="shared" si="52"/>
        <v>10720.135754000003</v>
      </c>
      <c r="H171" s="70">
        <f t="shared" si="52"/>
        <v>688375.29685199994</v>
      </c>
      <c r="I171" s="70">
        <f t="shared" si="52"/>
        <v>0</v>
      </c>
      <c r="J171" s="70">
        <f t="shared" si="52"/>
        <v>8758.4500000000007</v>
      </c>
      <c r="K171" s="70">
        <f t="shared" si="52"/>
        <v>0</v>
      </c>
      <c r="L171" s="70">
        <f t="shared" si="52"/>
        <v>690336.98260600003</v>
      </c>
      <c r="M171" s="70">
        <f t="shared" si="52"/>
        <v>154649.08000000002</v>
      </c>
      <c r="N171" s="70">
        <f t="shared" si="52"/>
        <v>535687.90260600008</v>
      </c>
      <c r="O171" s="70">
        <f t="shared" si="52"/>
        <v>0</v>
      </c>
      <c r="P171" s="70">
        <f t="shared" si="52"/>
        <v>0</v>
      </c>
      <c r="Q171" s="70">
        <f t="shared" si="52"/>
        <v>535687.90260600008</v>
      </c>
      <c r="T171" s="451"/>
    </row>
    <row r="172" spans="1:20">
      <c r="A172" s="150" t="s">
        <v>355</v>
      </c>
      <c r="B172" s="48"/>
      <c r="C172" s="48"/>
      <c r="D172" s="43"/>
      <c r="E172" s="173"/>
      <c r="F172" s="64">
        <v>157979482</v>
      </c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T172" s="450"/>
    </row>
    <row r="173" spans="1:20">
      <c r="A173" s="151" t="s">
        <v>30</v>
      </c>
      <c r="B173" s="51"/>
      <c r="C173" s="51"/>
      <c r="D173" s="52"/>
      <c r="E173" s="203"/>
      <c r="F173" s="152">
        <f>(F171-ROUND(J164/B164*100,0))-F172</f>
        <v>6573435.9938494563</v>
      </c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T173" s="450"/>
    </row>
    <row r="174" spans="1:20">
      <c r="A174" s="15" t="s">
        <v>448</v>
      </c>
      <c r="D174" s="43"/>
      <c r="E174" s="173"/>
      <c r="F174" s="43"/>
      <c r="G174" s="64"/>
      <c r="H174" s="53"/>
      <c r="I174" s="53"/>
      <c r="J174" s="53"/>
      <c r="K174" s="53"/>
      <c r="L174" s="53"/>
      <c r="M174" s="53"/>
      <c r="N174" s="53"/>
      <c r="O174" s="53"/>
      <c r="P174" s="53"/>
      <c r="Q174" s="53"/>
    </row>
    <row r="175" spans="1:20">
      <c r="A175" s="50"/>
      <c r="B175" s="50"/>
      <c r="C175" s="50"/>
      <c r="D175" s="50"/>
      <c r="E175" s="65">
        <v>41798563</v>
      </c>
      <c r="F175" s="50"/>
      <c r="G175" s="59"/>
      <c r="H175" s="53"/>
      <c r="I175" s="53"/>
      <c r="J175" s="95"/>
      <c r="K175" s="53"/>
      <c r="L175" s="53"/>
      <c r="M175" s="53"/>
      <c r="N175" s="53"/>
      <c r="O175" s="53"/>
      <c r="P175" s="53"/>
      <c r="Q175" s="53"/>
    </row>
    <row r="176" spans="1:20">
      <c r="A176" s="49" t="s">
        <v>15</v>
      </c>
      <c r="B176" s="48">
        <v>0</v>
      </c>
      <c r="C176" s="48">
        <v>0</v>
      </c>
      <c r="D176" s="16">
        <v>1756</v>
      </c>
      <c r="E176" s="173"/>
      <c r="F176" s="328">
        <v>661127345</v>
      </c>
      <c r="G176" s="18">
        <v>1732.72</v>
      </c>
      <c r="H176" s="53">
        <v>9869715.0600000005</v>
      </c>
      <c r="I176" s="53">
        <v>0</v>
      </c>
      <c r="J176" s="13">
        <v>1771401.37</v>
      </c>
      <c r="K176" s="53">
        <v>0</v>
      </c>
      <c r="L176" s="53">
        <f>G176+H176+I176-J176+K176</f>
        <v>8100046.4100000011</v>
      </c>
      <c r="M176" s="53">
        <v>2637248.7799999998</v>
      </c>
      <c r="N176" s="53">
        <f>L176-M176</f>
        <v>5462797.6300000008</v>
      </c>
      <c r="O176" s="53">
        <v>0</v>
      </c>
      <c r="P176" s="53">
        <v>0</v>
      </c>
      <c r="Q176" s="53">
        <f>N176-O176-P176</f>
        <v>5462797.6300000008</v>
      </c>
    </row>
    <row r="177" spans="1:20">
      <c r="A177" s="47" t="s">
        <v>16</v>
      </c>
      <c r="B177" s="48"/>
      <c r="C177" s="48">
        <f>C176</f>
        <v>0</v>
      </c>
      <c r="D177" s="84"/>
      <c r="E177" s="173"/>
      <c r="F177" s="65">
        <f>IF(E175&gt;E176,E175-E176,0)</f>
        <v>41798563</v>
      </c>
      <c r="G177" s="59"/>
      <c r="H177" s="53"/>
      <c r="I177" s="53"/>
      <c r="J177" s="95"/>
      <c r="K177" s="53"/>
      <c r="L177" s="53"/>
      <c r="M177" s="53"/>
      <c r="N177" s="53"/>
      <c r="O177" s="53"/>
      <c r="P177" s="53"/>
      <c r="Q177" s="53"/>
    </row>
    <row r="178" spans="1:20">
      <c r="A178" s="47" t="s">
        <v>17</v>
      </c>
      <c r="B178" s="48"/>
      <c r="C178" s="48">
        <f>C176</f>
        <v>0</v>
      </c>
      <c r="D178" s="43"/>
      <c r="E178" s="173"/>
      <c r="F178" s="66">
        <v>21055912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>
        <f>N178-O178-P178</f>
        <v>0</v>
      </c>
    </row>
    <row r="179" spans="1:20">
      <c r="A179" s="47" t="s">
        <v>18</v>
      </c>
      <c r="B179" s="48"/>
      <c r="C179" s="48"/>
      <c r="D179" s="43"/>
      <c r="E179" s="173"/>
      <c r="F179" s="4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1:20">
      <c r="A180" s="67" t="s">
        <v>19</v>
      </c>
      <c r="B180" s="48">
        <f>B176</f>
        <v>0</v>
      </c>
      <c r="C180" s="48">
        <f>C176</f>
        <v>0</v>
      </c>
      <c r="D180" s="43"/>
      <c r="E180" s="173"/>
      <c r="F180" s="43"/>
      <c r="G180" s="53"/>
      <c r="H180" s="53"/>
      <c r="I180" s="53">
        <v>0</v>
      </c>
      <c r="J180" s="53"/>
      <c r="K180" s="53"/>
      <c r="L180" s="53">
        <f>G180+H180+I180-J180+K180</f>
        <v>0</v>
      </c>
      <c r="M180" s="53"/>
      <c r="N180" s="53">
        <f>L180-M180</f>
        <v>0</v>
      </c>
      <c r="O180" s="53"/>
      <c r="P180" s="53"/>
      <c r="Q180" s="53">
        <f>N180-O180-P180</f>
        <v>0</v>
      </c>
    </row>
    <row r="181" spans="1:20">
      <c r="A181" s="67" t="s">
        <v>20</v>
      </c>
      <c r="B181" s="48">
        <f>B176</f>
        <v>0</v>
      </c>
      <c r="C181" s="48">
        <f>C176</f>
        <v>0</v>
      </c>
      <c r="D181" s="43"/>
      <c r="E181" s="173"/>
      <c r="F181" s="43">
        <v>271192.99</v>
      </c>
      <c r="G181" s="53"/>
      <c r="H181" s="53"/>
      <c r="I181" s="53"/>
      <c r="J181" s="53"/>
      <c r="K181" s="53"/>
      <c r="L181" s="53">
        <f>G181+H181+I181-J181+K181</f>
        <v>0</v>
      </c>
      <c r="M181" s="53"/>
      <c r="N181" s="53">
        <f>L181-M181</f>
        <v>0</v>
      </c>
      <c r="O181" s="53"/>
      <c r="P181" s="53"/>
      <c r="Q181" s="53">
        <f>N181-O181-P181</f>
        <v>0</v>
      </c>
    </row>
    <row r="182" spans="1:20">
      <c r="A182" s="47"/>
      <c r="B182" s="48"/>
      <c r="C182" s="48"/>
      <c r="D182" s="43"/>
      <c r="E182" s="173"/>
      <c r="F182" s="4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</row>
    <row r="183" spans="1:20" s="50" customFormat="1" ht="13.5" thickBot="1">
      <c r="A183" s="60" t="str">
        <f>"TOTAL "&amp;A174</f>
        <v>TOTAL RENO RDA  #1</v>
      </c>
      <c r="B183" s="68">
        <f>B176</f>
        <v>0</v>
      </c>
      <c r="C183" s="68">
        <f>C176</f>
        <v>0</v>
      </c>
      <c r="D183" s="69">
        <f t="shared" ref="D183:Q183" si="53">SUM(D176:D178,D180:D181)</f>
        <v>1756</v>
      </c>
      <c r="E183" s="204"/>
      <c r="F183" s="69">
        <f t="shared" si="53"/>
        <v>724253012.99000001</v>
      </c>
      <c r="G183" s="70">
        <f t="shared" si="53"/>
        <v>1732.72</v>
      </c>
      <c r="H183" s="70">
        <f t="shared" si="53"/>
        <v>9869715.0600000005</v>
      </c>
      <c r="I183" s="70">
        <f t="shared" si="53"/>
        <v>0</v>
      </c>
      <c r="J183" s="70">
        <f>SUM(J176:J178,J180:J181)</f>
        <v>1771401.37</v>
      </c>
      <c r="K183" s="70">
        <f t="shared" si="53"/>
        <v>0</v>
      </c>
      <c r="L183" s="70">
        <f t="shared" si="53"/>
        <v>8100046.4100000011</v>
      </c>
      <c r="M183" s="70">
        <f t="shared" si="53"/>
        <v>2637248.7799999998</v>
      </c>
      <c r="N183" s="70">
        <f t="shared" si="53"/>
        <v>5462797.6300000008</v>
      </c>
      <c r="O183" s="70">
        <f t="shared" si="53"/>
        <v>0</v>
      </c>
      <c r="P183" s="70">
        <f t="shared" si="53"/>
        <v>0</v>
      </c>
      <c r="Q183" s="70">
        <f t="shared" si="53"/>
        <v>5462797.6300000008</v>
      </c>
      <c r="T183" s="451"/>
    </row>
    <row r="184" spans="1:20">
      <c r="A184" s="150" t="s">
        <v>355</v>
      </c>
      <c r="B184" s="48"/>
      <c r="C184" s="48"/>
      <c r="D184" s="43"/>
      <c r="E184" s="173"/>
      <c r="F184" s="64">
        <v>414717425</v>
      </c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T184" s="450"/>
    </row>
    <row r="185" spans="1:20">
      <c r="A185" s="151" t="s">
        <v>30</v>
      </c>
      <c r="B185" s="51"/>
      <c r="C185" s="51"/>
      <c r="D185" s="52"/>
      <c r="E185" s="203"/>
      <c r="F185" s="152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T185" s="450"/>
    </row>
    <row r="186" spans="1:20">
      <c r="A186" s="15" t="s">
        <v>449</v>
      </c>
      <c r="G186" s="64"/>
      <c r="H186" s="53"/>
      <c r="I186" s="53"/>
      <c r="J186" s="53"/>
      <c r="K186" s="53"/>
      <c r="L186" s="53"/>
      <c r="M186" s="53"/>
      <c r="N186" s="53"/>
      <c r="O186" s="53"/>
      <c r="P186" s="53"/>
      <c r="Q186" s="53"/>
    </row>
    <row r="187" spans="1:20">
      <c r="A187" s="83"/>
      <c r="B187" s="84"/>
      <c r="C187" s="84"/>
      <c r="D187" s="84"/>
      <c r="E187" s="65">
        <v>75476131</v>
      </c>
      <c r="F187" s="84"/>
      <c r="G187" s="59"/>
      <c r="H187" s="53"/>
      <c r="I187" s="53"/>
      <c r="J187" s="95"/>
      <c r="K187" s="53"/>
      <c r="L187" s="53"/>
      <c r="M187" s="53"/>
      <c r="N187" s="53"/>
      <c r="O187" s="53"/>
      <c r="P187" s="53"/>
      <c r="Q187" s="53"/>
    </row>
    <row r="188" spans="1:20">
      <c r="A188" s="49" t="s">
        <v>15</v>
      </c>
      <c r="B188" s="48">
        <v>0</v>
      </c>
      <c r="C188" s="48">
        <v>0</v>
      </c>
      <c r="D188" s="43">
        <v>3760</v>
      </c>
      <c r="E188" s="173"/>
      <c r="F188" s="43">
        <v>1177138915</v>
      </c>
      <c r="G188" s="53">
        <v>36218.910000000003</v>
      </c>
      <c r="H188" s="53">
        <v>19694162.079999998</v>
      </c>
      <c r="I188" s="53">
        <v>0</v>
      </c>
      <c r="J188" s="53">
        <v>4939848.59</v>
      </c>
      <c r="K188" s="53">
        <v>0</v>
      </c>
      <c r="L188" s="53">
        <f>G188+H188+I188-J188+K188</f>
        <v>14790532.399999999</v>
      </c>
      <c r="M188" s="53">
        <v>3353605.73</v>
      </c>
      <c r="N188" s="53">
        <f>L188-M188</f>
        <v>11436926.669999998</v>
      </c>
      <c r="O188" s="53">
        <v>0</v>
      </c>
      <c r="P188" s="53">
        <v>0</v>
      </c>
      <c r="Q188" s="53">
        <f>N188-O188-P188</f>
        <v>11436926.669999998</v>
      </c>
    </row>
    <row r="189" spans="1:20">
      <c r="A189" s="47" t="s">
        <v>16</v>
      </c>
      <c r="B189" s="48"/>
      <c r="C189" s="48">
        <f>C188</f>
        <v>0</v>
      </c>
      <c r="D189" s="43"/>
      <c r="E189" s="173"/>
      <c r="F189" s="65">
        <f>IF(E187&gt;E188,E187-E188,0)</f>
        <v>75476131</v>
      </c>
      <c r="G189" s="53">
        <f>F189*(B189-C189)/100*0.108398</f>
        <v>0</v>
      </c>
      <c r="H189" s="53"/>
      <c r="I189" s="53">
        <f>F189*C189/100</f>
        <v>0</v>
      </c>
      <c r="J189" s="53"/>
      <c r="K189" s="53"/>
      <c r="L189" s="53">
        <f>G189+H189+I189-J189+K189</f>
        <v>0</v>
      </c>
      <c r="M189" s="53"/>
      <c r="N189" s="53">
        <f>L189-M189</f>
        <v>0</v>
      </c>
      <c r="O189" s="53"/>
      <c r="P189" s="53"/>
      <c r="Q189" s="53">
        <f>N189-O189-P189</f>
        <v>0</v>
      </c>
    </row>
    <row r="190" spans="1:20">
      <c r="A190" s="47" t="s">
        <v>17</v>
      </c>
      <c r="B190" s="48"/>
      <c r="C190" s="48">
        <f>C188</f>
        <v>0</v>
      </c>
      <c r="D190" s="43"/>
      <c r="E190" s="173"/>
      <c r="F190" s="66">
        <v>38012418</v>
      </c>
      <c r="G190" s="53"/>
      <c r="H190" s="53">
        <f>F190*(B190-C190)/100*0.108398</f>
        <v>0</v>
      </c>
      <c r="I190" s="53">
        <f>F190*C190/100</f>
        <v>0</v>
      </c>
      <c r="J190" s="53"/>
      <c r="K190" s="53"/>
      <c r="L190" s="53">
        <f>G190+H190+I190-J190+K190</f>
        <v>0</v>
      </c>
      <c r="M190" s="53"/>
      <c r="N190" s="53">
        <f>L190-M190</f>
        <v>0</v>
      </c>
      <c r="O190" s="53"/>
      <c r="P190" s="53"/>
      <c r="Q190" s="53">
        <f>N190-O190-P190</f>
        <v>0</v>
      </c>
    </row>
    <row r="191" spans="1:20">
      <c r="A191" s="47" t="s">
        <v>18</v>
      </c>
      <c r="B191" s="48"/>
      <c r="C191" s="48"/>
      <c r="D191" s="43"/>
      <c r="E191" s="173"/>
      <c r="F191" s="4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</row>
    <row r="192" spans="1:20">
      <c r="A192" s="67" t="s">
        <v>19</v>
      </c>
      <c r="B192" s="48">
        <f>B188</f>
        <v>0</v>
      </c>
      <c r="C192" s="48">
        <f>C188</f>
        <v>0</v>
      </c>
      <c r="D192" s="43"/>
      <c r="E192" s="173"/>
      <c r="F192" s="43"/>
      <c r="G192" s="53"/>
      <c r="H192" s="53"/>
      <c r="I192" s="53"/>
      <c r="J192" s="53"/>
      <c r="K192" s="53"/>
      <c r="L192" s="53">
        <f>G192+H192+I192-J192+K192</f>
        <v>0</v>
      </c>
      <c r="M192" s="53"/>
      <c r="N192" s="53">
        <f>L192-M192</f>
        <v>0</v>
      </c>
      <c r="O192" s="53"/>
      <c r="P192" s="53"/>
      <c r="Q192" s="53">
        <f>N192-O192-P192</f>
        <v>0</v>
      </c>
    </row>
    <row r="193" spans="1:20">
      <c r="A193" s="67" t="s">
        <v>20</v>
      </c>
      <c r="B193" s="48">
        <f>B188</f>
        <v>0</v>
      </c>
      <c r="C193" s="48">
        <f>C188</f>
        <v>0</v>
      </c>
      <c r="D193" s="43"/>
      <c r="E193" s="173"/>
      <c r="F193" s="43">
        <v>2745875.41</v>
      </c>
      <c r="G193" s="53"/>
      <c r="H193" s="53"/>
      <c r="I193" s="53"/>
      <c r="J193" s="53"/>
      <c r="K193" s="53"/>
      <c r="L193" s="53">
        <f>G193+H193+I193-J193+K193</f>
        <v>0</v>
      </c>
      <c r="M193" s="53"/>
      <c r="N193" s="53">
        <f>L193-M193</f>
        <v>0</v>
      </c>
      <c r="O193" s="53"/>
      <c r="P193" s="53"/>
      <c r="Q193" s="53">
        <f>N193-O193-P193</f>
        <v>0</v>
      </c>
    </row>
    <row r="194" spans="1:20">
      <c r="A194" s="47"/>
      <c r="B194" s="48"/>
      <c r="C194" s="48"/>
      <c r="D194" s="43"/>
      <c r="E194" s="173"/>
      <c r="F194" s="4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</row>
    <row r="195" spans="1:20" s="50" customFormat="1" ht="13.5" thickBot="1">
      <c r="A195" s="60" t="str">
        <f>"TOTAL "&amp;A186</f>
        <v>TOTAL RENO RDA #2</v>
      </c>
      <c r="B195" s="68">
        <f>B188</f>
        <v>0</v>
      </c>
      <c r="C195" s="68">
        <f>C188</f>
        <v>0</v>
      </c>
      <c r="D195" s="69">
        <f t="shared" ref="D195:Q195" si="54">SUM(D188:D190,D192:D193)</f>
        <v>3760</v>
      </c>
      <c r="E195" s="204"/>
      <c r="F195" s="69">
        <f t="shared" si="54"/>
        <v>1293373339.4100001</v>
      </c>
      <c r="G195" s="70">
        <f t="shared" si="54"/>
        <v>36218.910000000003</v>
      </c>
      <c r="H195" s="70">
        <f t="shared" si="54"/>
        <v>19694162.079999998</v>
      </c>
      <c r="I195" s="70">
        <f t="shared" si="54"/>
        <v>0</v>
      </c>
      <c r="J195" s="70">
        <f t="shared" si="54"/>
        <v>4939848.59</v>
      </c>
      <c r="K195" s="70">
        <f t="shared" si="54"/>
        <v>0</v>
      </c>
      <c r="L195" s="70">
        <f t="shared" si="54"/>
        <v>14790532.399999999</v>
      </c>
      <c r="M195" s="70">
        <f>SUM(M188:M190,M192:M193)</f>
        <v>3353605.73</v>
      </c>
      <c r="N195" s="70">
        <f t="shared" si="54"/>
        <v>11436926.669999998</v>
      </c>
      <c r="O195" s="70">
        <f t="shared" si="54"/>
        <v>0</v>
      </c>
      <c r="P195" s="70">
        <f t="shared" si="54"/>
        <v>0</v>
      </c>
      <c r="Q195" s="70">
        <f t="shared" si="54"/>
        <v>11436926.669999998</v>
      </c>
      <c r="T195" s="451"/>
    </row>
    <row r="196" spans="1:20">
      <c r="A196" s="150" t="s">
        <v>355</v>
      </c>
      <c r="B196" s="48"/>
      <c r="C196" s="48"/>
      <c r="D196" s="43"/>
      <c r="E196" s="173"/>
      <c r="F196" s="64">
        <v>670297381</v>
      </c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T196" s="450"/>
    </row>
    <row r="197" spans="1:20">
      <c r="A197" s="151" t="s">
        <v>30</v>
      </c>
      <c r="B197" s="51"/>
      <c r="C197" s="51"/>
      <c r="D197" s="52"/>
      <c r="E197" s="203"/>
      <c r="F197" s="152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T197" s="450"/>
    </row>
    <row r="198" spans="1:20" ht="15" hidden="1" customHeight="1">
      <c r="A198" s="54" t="s">
        <v>238</v>
      </c>
      <c r="B198" s="50"/>
      <c r="C198" s="50"/>
      <c r="D198" s="50"/>
      <c r="E198" s="211"/>
      <c r="F198" s="50"/>
      <c r="G198" s="64"/>
      <c r="H198" s="53"/>
      <c r="I198" s="53"/>
      <c r="J198" s="53"/>
      <c r="K198" s="53"/>
      <c r="L198" s="53"/>
      <c r="M198" s="53"/>
      <c r="N198" s="53"/>
      <c r="O198" s="53"/>
      <c r="P198" s="53"/>
      <c r="Q198" s="53"/>
    </row>
    <row r="199" spans="1:20" hidden="1">
      <c r="A199" s="50"/>
      <c r="E199" s="65"/>
      <c r="G199" s="53"/>
      <c r="H199" s="53"/>
      <c r="I199" s="53"/>
      <c r="J199" s="95" t="e">
        <f>J200/B200*100</f>
        <v>#DIV/0!</v>
      </c>
      <c r="K199" s="53"/>
      <c r="L199" s="53"/>
      <c r="M199" s="53"/>
      <c r="N199" s="53"/>
      <c r="O199" s="53"/>
      <c r="P199" s="53"/>
      <c r="Q199" s="53"/>
    </row>
    <row r="200" spans="1:20" hidden="1">
      <c r="A200" s="49" t="s">
        <v>15</v>
      </c>
      <c r="B200" s="48"/>
      <c r="C200" s="48"/>
      <c r="D200" s="43"/>
      <c r="E200" s="173" t="e">
        <f>G200/B200*100</f>
        <v>#DIV/0!</v>
      </c>
      <c r="F200" s="43"/>
      <c r="G200" s="53"/>
      <c r="H200" s="53"/>
      <c r="I200" s="53"/>
      <c r="J200" s="53"/>
      <c r="K200" s="53"/>
      <c r="L200" s="53">
        <f>G200+H200+I200-J200+K200</f>
        <v>0</v>
      </c>
      <c r="M200" s="53"/>
      <c r="N200" s="53">
        <f>L200-M200</f>
        <v>0</v>
      </c>
      <c r="O200" s="53"/>
      <c r="P200" s="53"/>
      <c r="Q200" s="53">
        <f>N200-O200-P200</f>
        <v>0</v>
      </c>
    </row>
    <row r="201" spans="1:20" hidden="1">
      <c r="A201" s="47" t="s">
        <v>16</v>
      </c>
      <c r="B201" s="48">
        <f>B200</f>
        <v>0</v>
      </c>
      <c r="C201" s="48">
        <f>C200</f>
        <v>0</v>
      </c>
      <c r="D201" s="43"/>
      <c r="E201" s="173"/>
      <c r="F201" s="65"/>
      <c r="G201" s="53">
        <f>F201*(B201-C201)/100</f>
        <v>0</v>
      </c>
      <c r="H201" s="53"/>
      <c r="I201" s="53">
        <f>F201*C201/100</f>
        <v>0</v>
      </c>
      <c r="J201" s="53"/>
      <c r="K201" s="53"/>
      <c r="L201" s="53">
        <f>G201+H201+I201-J201+K201</f>
        <v>0</v>
      </c>
      <c r="M201" s="53"/>
      <c r="N201" s="53">
        <f>L201-M201</f>
        <v>0</v>
      </c>
      <c r="O201" s="53"/>
      <c r="P201" s="53"/>
      <c r="Q201" s="53">
        <f>N201-O201-P201</f>
        <v>0</v>
      </c>
    </row>
    <row r="202" spans="1:20" hidden="1">
      <c r="A202" s="47" t="s">
        <v>17</v>
      </c>
      <c r="B202" s="48">
        <f>B200</f>
        <v>0</v>
      </c>
      <c r="C202" s="48">
        <f>C200</f>
        <v>0</v>
      </c>
      <c r="D202" s="43"/>
      <c r="E202" s="173"/>
      <c r="F202" s="66"/>
      <c r="G202" s="53"/>
      <c r="H202" s="53">
        <f>F202*(B202-C202)/100</f>
        <v>0</v>
      </c>
      <c r="I202" s="53">
        <f>F202*C202/100</f>
        <v>0</v>
      </c>
      <c r="J202" s="53"/>
      <c r="K202" s="53"/>
      <c r="L202" s="53">
        <f>G202+H202+I202-J202+K202</f>
        <v>0</v>
      </c>
      <c r="M202" s="53"/>
      <c r="N202" s="53">
        <f>L202-M202</f>
        <v>0</v>
      </c>
      <c r="O202" s="53"/>
      <c r="P202" s="53"/>
      <c r="Q202" s="53">
        <f>N202-O202-P202</f>
        <v>0</v>
      </c>
    </row>
    <row r="203" spans="1:20" hidden="1">
      <c r="A203" s="47" t="s">
        <v>18</v>
      </c>
      <c r="B203" s="48"/>
      <c r="C203" s="48"/>
      <c r="D203" s="43"/>
      <c r="E203" s="173"/>
      <c r="F203" s="4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</row>
    <row r="204" spans="1:20" hidden="1">
      <c r="A204" s="67" t="s">
        <v>19</v>
      </c>
      <c r="B204" s="48">
        <f>B200</f>
        <v>0</v>
      </c>
      <c r="C204" s="48">
        <f>C200</f>
        <v>0</v>
      </c>
      <c r="D204" s="43"/>
      <c r="E204" s="173"/>
      <c r="F204" s="43"/>
      <c r="G204" s="53"/>
      <c r="H204" s="53"/>
      <c r="I204" s="53"/>
      <c r="J204" s="53"/>
      <c r="K204" s="53"/>
      <c r="L204" s="53">
        <f>G204+H204+I204-J204+K204</f>
        <v>0</v>
      </c>
      <c r="M204" s="53"/>
      <c r="N204" s="53">
        <f>L204-M204</f>
        <v>0</v>
      </c>
      <c r="O204" s="53"/>
      <c r="P204" s="53"/>
      <c r="Q204" s="53">
        <f>N204-O204-P204</f>
        <v>0</v>
      </c>
    </row>
    <row r="205" spans="1:20" hidden="1">
      <c r="A205" s="67" t="s">
        <v>20</v>
      </c>
      <c r="B205" s="48">
        <f>B200</f>
        <v>0</v>
      </c>
      <c r="C205" s="48">
        <f>C200</f>
        <v>0</v>
      </c>
      <c r="D205" s="43"/>
      <c r="E205" s="173"/>
      <c r="F205" s="43"/>
      <c r="G205" s="53"/>
      <c r="H205" s="53"/>
      <c r="I205" s="53"/>
      <c r="J205" s="53"/>
      <c r="K205" s="53"/>
      <c r="L205" s="53">
        <f>G205+H205+I205-J205+K205</f>
        <v>0</v>
      </c>
      <c r="M205" s="53"/>
      <c r="N205" s="53">
        <f>L205-M205</f>
        <v>0</v>
      </c>
      <c r="O205" s="53"/>
      <c r="P205" s="53"/>
      <c r="Q205" s="53">
        <f>N205-O205-P205</f>
        <v>0</v>
      </c>
    </row>
    <row r="206" spans="1:20" hidden="1">
      <c r="A206" s="47"/>
      <c r="B206" s="48"/>
      <c r="C206" s="48"/>
      <c r="D206" s="43"/>
      <c r="E206" s="173"/>
      <c r="F206" s="4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</row>
    <row r="207" spans="1:20" s="50" customFormat="1" ht="13.5" hidden="1" thickBot="1">
      <c r="A207" s="60" t="str">
        <f>"TOTAL "&amp;A198</f>
        <v>TOTAL SIERRA FOREST FIRE PROTECTION DIST</v>
      </c>
      <c r="B207" s="68">
        <f>B200</f>
        <v>0</v>
      </c>
      <c r="C207" s="68">
        <f>C200</f>
        <v>0</v>
      </c>
      <c r="D207" s="69">
        <f t="shared" ref="D207:Q207" si="55">SUM(D200:D202,D204:D205)</f>
        <v>0</v>
      </c>
      <c r="E207" s="204"/>
      <c r="F207" s="69">
        <f t="shared" si="55"/>
        <v>0</v>
      </c>
      <c r="G207" s="70">
        <f t="shared" si="55"/>
        <v>0</v>
      </c>
      <c r="H207" s="70">
        <f t="shared" si="55"/>
        <v>0</v>
      </c>
      <c r="I207" s="70">
        <f t="shared" si="55"/>
        <v>0</v>
      </c>
      <c r="J207" s="70">
        <f t="shared" si="55"/>
        <v>0</v>
      </c>
      <c r="K207" s="70">
        <f t="shared" si="55"/>
        <v>0</v>
      </c>
      <c r="L207" s="70">
        <f t="shared" si="55"/>
        <v>0</v>
      </c>
      <c r="M207" s="70">
        <f t="shared" si="55"/>
        <v>0</v>
      </c>
      <c r="N207" s="70">
        <f t="shared" si="55"/>
        <v>0</v>
      </c>
      <c r="O207" s="70">
        <f t="shared" si="55"/>
        <v>0</v>
      </c>
      <c r="P207" s="70">
        <f t="shared" si="55"/>
        <v>0</v>
      </c>
      <c r="Q207" s="70">
        <f t="shared" si="55"/>
        <v>0</v>
      </c>
      <c r="T207" s="451"/>
    </row>
    <row r="208" spans="1:20" hidden="1">
      <c r="A208" s="150" t="s">
        <v>355</v>
      </c>
      <c r="B208" s="48"/>
      <c r="C208" s="48"/>
      <c r="D208" s="43"/>
      <c r="E208" s="173"/>
      <c r="F208" s="64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T208" s="450"/>
    </row>
    <row r="209" spans="1:20" hidden="1">
      <c r="A209" s="151" t="s">
        <v>30</v>
      </c>
      <c r="B209" s="51"/>
      <c r="C209" s="51"/>
      <c r="D209" s="52"/>
      <c r="E209" s="203"/>
      <c r="F209" s="152" t="e">
        <f>(F207-ROUND(J200/B200*100,0))-F208</f>
        <v>#DIV/0!</v>
      </c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T209" s="450"/>
    </row>
    <row r="210" spans="1:20" hidden="1">
      <c r="A210" s="15" t="s">
        <v>489</v>
      </c>
      <c r="G210" s="64"/>
      <c r="H210" s="53"/>
      <c r="I210" s="53"/>
      <c r="J210" s="53"/>
      <c r="K210" s="53"/>
      <c r="L210" s="53"/>
      <c r="M210" s="53"/>
      <c r="N210" s="53"/>
      <c r="O210" s="53"/>
      <c r="P210" s="53"/>
      <c r="Q210" s="53"/>
    </row>
    <row r="211" spans="1:20" hidden="1">
      <c r="E211" s="65"/>
      <c r="G211" s="53"/>
      <c r="H211" s="53"/>
      <c r="I211" s="53"/>
      <c r="J211" s="95"/>
      <c r="K211" s="53"/>
      <c r="L211" s="53"/>
      <c r="M211" s="53"/>
      <c r="N211" s="53"/>
      <c r="O211" s="53"/>
      <c r="P211" s="53"/>
      <c r="Q211" s="53"/>
    </row>
    <row r="212" spans="1:20" hidden="1">
      <c r="A212" s="49" t="s">
        <v>15</v>
      </c>
      <c r="B212" s="48">
        <v>0</v>
      </c>
      <c r="C212" s="48">
        <v>0</v>
      </c>
      <c r="D212" s="43">
        <v>0</v>
      </c>
      <c r="E212" s="173"/>
      <c r="F212" s="43">
        <v>0</v>
      </c>
      <c r="G212" s="53"/>
      <c r="H212" s="53">
        <v>0</v>
      </c>
      <c r="I212" s="53">
        <v>0</v>
      </c>
      <c r="J212" s="53">
        <v>0</v>
      </c>
      <c r="K212" s="53">
        <v>0</v>
      </c>
      <c r="L212" s="53">
        <f>G212+H212+I212-J212+K212</f>
        <v>0</v>
      </c>
      <c r="M212" s="53">
        <v>0</v>
      </c>
      <c r="N212" s="53">
        <f>L212-M212</f>
        <v>0</v>
      </c>
      <c r="O212" s="53">
        <v>0</v>
      </c>
      <c r="P212" s="53">
        <v>0</v>
      </c>
      <c r="Q212" s="53">
        <f>N212-O212-P212</f>
        <v>0</v>
      </c>
    </row>
    <row r="213" spans="1:20" hidden="1">
      <c r="A213" s="47" t="s">
        <v>16</v>
      </c>
      <c r="B213" s="48"/>
      <c r="C213" s="48">
        <f>C212</f>
        <v>0</v>
      </c>
      <c r="D213" s="43"/>
      <c r="E213" s="173"/>
      <c r="F213" s="65"/>
      <c r="G213" s="53">
        <f>F213*(B213-C213)/100*0.753194</f>
        <v>0</v>
      </c>
      <c r="H213" s="53"/>
      <c r="I213" s="53">
        <f>F213*C213/100</f>
        <v>0</v>
      </c>
      <c r="J213" s="53"/>
      <c r="K213" s="53"/>
      <c r="L213" s="53">
        <f>G213+H213+I213-J213+K213</f>
        <v>0</v>
      </c>
      <c r="M213" s="53"/>
      <c r="N213" s="53">
        <f>L213-M213</f>
        <v>0</v>
      </c>
      <c r="O213" s="53"/>
      <c r="P213" s="53"/>
      <c r="Q213" s="53">
        <f>N213-O213-P213</f>
        <v>0</v>
      </c>
    </row>
    <row r="214" spans="1:20" hidden="1">
      <c r="A214" s="47" t="s">
        <v>17</v>
      </c>
      <c r="B214" s="48"/>
      <c r="C214" s="48">
        <f>C212</f>
        <v>0</v>
      </c>
      <c r="D214" s="43"/>
      <c r="E214" s="173"/>
      <c r="F214" s="66"/>
      <c r="G214" s="53"/>
      <c r="H214" s="53">
        <f>F214*(B214-C214)/100*0.753194</f>
        <v>0</v>
      </c>
      <c r="I214" s="53">
        <f>F214*C214/100</f>
        <v>0</v>
      </c>
      <c r="J214" s="53"/>
      <c r="K214" s="53"/>
      <c r="L214" s="53">
        <f>G214+H214+I214-J214+K214</f>
        <v>0</v>
      </c>
      <c r="M214" s="53"/>
      <c r="N214" s="53">
        <f>L214-M214</f>
        <v>0</v>
      </c>
      <c r="O214" s="53"/>
      <c r="P214" s="53"/>
      <c r="Q214" s="53">
        <f>N214-O214-P214</f>
        <v>0</v>
      </c>
    </row>
    <row r="215" spans="1:20" hidden="1">
      <c r="A215" s="47" t="s">
        <v>18</v>
      </c>
      <c r="B215" s="48"/>
      <c r="C215" s="48"/>
      <c r="D215" s="43"/>
      <c r="E215" s="173"/>
      <c r="F215" s="4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</row>
    <row r="216" spans="1:20" hidden="1">
      <c r="A216" s="67" t="s">
        <v>19</v>
      </c>
      <c r="B216" s="48">
        <f>B212</f>
        <v>0</v>
      </c>
      <c r="C216" s="48">
        <f>C212</f>
        <v>0</v>
      </c>
      <c r="D216" s="43"/>
      <c r="E216" s="173"/>
      <c r="F216" s="43"/>
      <c r="G216" s="53"/>
      <c r="H216" s="53"/>
      <c r="I216" s="53"/>
      <c r="J216" s="53"/>
      <c r="K216" s="53"/>
      <c r="L216" s="53">
        <f>G216+H216+I216-J216+K216</f>
        <v>0</v>
      </c>
      <c r="M216" s="53"/>
      <c r="N216" s="53">
        <f>L216-M216</f>
        <v>0</v>
      </c>
      <c r="O216" s="53"/>
      <c r="P216" s="53"/>
      <c r="Q216" s="53">
        <f>N216-O216-P216</f>
        <v>0</v>
      </c>
    </row>
    <row r="217" spans="1:20" hidden="1">
      <c r="A217" s="67" t="s">
        <v>20</v>
      </c>
      <c r="B217" s="48">
        <f>B212</f>
        <v>0</v>
      </c>
      <c r="C217" s="48">
        <f>C212</f>
        <v>0</v>
      </c>
      <c r="D217" s="43"/>
      <c r="E217" s="173"/>
      <c r="F217" s="43"/>
      <c r="G217" s="53"/>
      <c r="H217" s="53"/>
      <c r="I217" s="53"/>
      <c r="J217" s="53"/>
      <c r="K217" s="53"/>
      <c r="L217" s="53">
        <f>G217+H217+I217-J217+K217</f>
        <v>0</v>
      </c>
      <c r="M217" s="53"/>
      <c r="N217" s="53">
        <f>L217-M217</f>
        <v>0</v>
      </c>
      <c r="O217" s="53"/>
      <c r="P217" s="53"/>
      <c r="Q217" s="53">
        <f>N217-O217-P217</f>
        <v>0</v>
      </c>
    </row>
    <row r="218" spans="1:20" hidden="1">
      <c r="A218" s="47"/>
      <c r="B218" s="48"/>
      <c r="C218" s="48"/>
      <c r="D218" s="43"/>
      <c r="E218" s="173"/>
      <c r="F218" s="4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</row>
    <row r="219" spans="1:20" s="50" customFormat="1" ht="13.5" hidden="1" thickBot="1">
      <c r="A219" s="60" t="str">
        <f>"TOTAL "&amp;A210</f>
        <v>TOTAL SPARKS RDA #1 - EXPIRED</v>
      </c>
      <c r="B219" s="68">
        <f>B212</f>
        <v>0</v>
      </c>
      <c r="C219" s="68">
        <f>C212</f>
        <v>0</v>
      </c>
      <c r="D219" s="69">
        <f t="shared" ref="D219:Q219" si="56">SUM(D212:D214,D216:D217)</f>
        <v>0</v>
      </c>
      <c r="E219" s="204"/>
      <c r="F219" s="69">
        <f t="shared" si="56"/>
        <v>0</v>
      </c>
      <c r="G219" s="70">
        <f t="shared" si="56"/>
        <v>0</v>
      </c>
      <c r="H219" s="70">
        <f t="shared" si="56"/>
        <v>0</v>
      </c>
      <c r="I219" s="70">
        <f t="shared" si="56"/>
        <v>0</v>
      </c>
      <c r="J219" s="70">
        <f t="shared" si="56"/>
        <v>0</v>
      </c>
      <c r="K219" s="70">
        <f t="shared" si="56"/>
        <v>0</v>
      </c>
      <c r="L219" s="70">
        <f t="shared" si="56"/>
        <v>0</v>
      </c>
      <c r="M219" s="70">
        <f t="shared" si="56"/>
        <v>0</v>
      </c>
      <c r="N219" s="70">
        <f t="shared" si="56"/>
        <v>0</v>
      </c>
      <c r="O219" s="70">
        <f t="shared" si="56"/>
        <v>0</v>
      </c>
      <c r="P219" s="70">
        <f t="shared" si="56"/>
        <v>0</v>
      </c>
      <c r="Q219" s="70">
        <f t="shared" si="56"/>
        <v>0</v>
      </c>
      <c r="T219" s="451"/>
    </row>
    <row r="220" spans="1:20" hidden="1">
      <c r="A220" s="150" t="s">
        <v>355</v>
      </c>
      <c r="B220" s="48"/>
      <c r="C220" s="48"/>
      <c r="D220" s="43"/>
      <c r="E220" s="173"/>
      <c r="F220" s="64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T220" s="450"/>
    </row>
    <row r="221" spans="1:20" hidden="1">
      <c r="A221" s="151" t="s">
        <v>30</v>
      </c>
      <c r="B221" s="51"/>
      <c r="C221" s="51"/>
      <c r="D221" s="52"/>
      <c r="E221" s="203"/>
      <c r="F221" s="152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T221" s="450"/>
    </row>
    <row r="222" spans="1:20">
      <c r="A222" s="15" t="s">
        <v>450</v>
      </c>
      <c r="B222" s="50"/>
      <c r="C222" s="50"/>
      <c r="D222" s="50"/>
      <c r="E222" s="211"/>
      <c r="F222" s="50"/>
      <c r="G222" s="64"/>
      <c r="H222" s="53"/>
      <c r="I222" s="53"/>
      <c r="J222" s="53"/>
      <c r="K222" s="53"/>
      <c r="L222" s="53"/>
      <c r="M222" s="53"/>
      <c r="N222" s="53"/>
      <c r="O222" s="53"/>
      <c r="P222" s="53"/>
      <c r="Q222" s="53"/>
    </row>
    <row r="223" spans="1:20">
      <c r="E223" s="65">
        <v>17795786</v>
      </c>
      <c r="G223" s="53"/>
      <c r="H223" s="53"/>
      <c r="I223" s="53"/>
      <c r="J223" s="95"/>
      <c r="K223" s="53"/>
      <c r="L223" s="53"/>
      <c r="M223" s="53"/>
      <c r="N223" s="53"/>
      <c r="O223" s="53"/>
      <c r="P223" s="53"/>
      <c r="Q223" s="53"/>
    </row>
    <row r="224" spans="1:20">
      <c r="A224" s="49" t="s">
        <v>15</v>
      </c>
      <c r="B224" s="48">
        <v>0</v>
      </c>
      <c r="C224" s="48">
        <v>0</v>
      </c>
      <c r="D224" s="43">
        <v>481</v>
      </c>
      <c r="E224" s="173"/>
      <c r="F224" s="43">
        <v>321487147</v>
      </c>
      <c r="G224" s="53">
        <v>10514.82</v>
      </c>
      <c r="H224" s="53">
        <v>8001550.9699999997</v>
      </c>
      <c r="I224" s="53">
        <v>0</v>
      </c>
      <c r="J224" s="53">
        <v>498351.3</v>
      </c>
      <c r="K224" s="53">
        <v>477.73</v>
      </c>
      <c r="L224" s="53">
        <f>G224+H224+I224-J224+K224</f>
        <v>7514192.2200000007</v>
      </c>
      <c r="M224" s="53">
        <v>418585.5</v>
      </c>
      <c r="N224" s="53">
        <f>L224-M224</f>
        <v>7095606.7200000007</v>
      </c>
      <c r="O224" s="53"/>
      <c r="P224" s="53"/>
      <c r="Q224" s="53">
        <f>N224-O224-P224</f>
        <v>7095606.7200000007</v>
      </c>
      <c r="S224" s="14" t="s">
        <v>475</v>
      </c>
    </row>
    <row r="225" spans="1:21">
      <c r="A225" s="47" t="s">
        <v>16</v>
      </c>
      <c r="B225" s="48"/>
      <c r="C225" s="48">
        <f>C224</f>
        <v>0</v>
      </c>
      <c r="D225" s="43"/>
      <c r="E225" s="173"/>
      <c r="F225" s="65">
        <f>IF(E223&gt;E224,E223-E224,0)</f>
        <v>17795786</v>
      </c>
      <c r="G225" s="53">
        <f>F225*(B225-C225)/100*0.54855</f>
        <v>0</v>
      </c>
      <c r="H225" s="53"/>
      <c r="I225" s="53">
        <f>F225*C225/100</f>
        <v>0</v>
      </c>
      <c r="J225" s="53"/>
      <c r="K225" s="53"/>
      <c r="L225" s="53">
        <f>G225+H225+I225-J225+K225</f>
        <v>0</v>
      </c>
      <c r="M225" s="53"/>
      <c r="N225" s="53">
        <f>L225-M225</f>
        <v>0</v>
      </c>
      <c r="O225" s="53"/>
      <c r="P225" s="53"/>
      <c r="Q225" s="53">
        <f>N225-O225-P225</f>
        <v>0</v>
      </c>
      <c r="T225" s="450"/>
      <c r="U225" s="43">
        <f>+F212+F224</f>
        <v>321487147</v>
      </c>
    </row>
    <row r="226" spans="1:21">
      <c r="A226" s="47" t="s">
        <v>17</v>
      </c>
      <c r="B226" s="48"/>
      <c r="C226" s="48">
        <f>C224</f>
        <v>0</v>
      </c>
      <c r="D226" s="43"/>
      <c r="E226" s="173"/>
      <c r="F226" s="66">
        <v>17342574</v>
      </c>
      <c r="G226" s="53"/>
      <c r="H226" s="53">
        <f>F226*(B226-C226)/100*0.54855</f>
        <v>0</v>
      </c>
      <c r="I226" s="53">
        <f>F226*C226/100</f>
        <v>0</v>
      </c>
      <c r="J226" s="53"/>
      <c r="K226" s="53"/>
      <c r="L226" s="53">
        <f>G226+H226+I226-J226+K226</f>
        <v>0</v>
      </c>
      <c r="M226" s="53"/>
      <c r="N226" s="53">
        <f>L226-M226</f>
        <v>0</v>
      </c>
      <c r="O226" s="53"/>
      <c r="P226" s="53"/>
      <c r="Q226" s="53">
        <f>N226-O226-P226</f>
        <v>0</v>
      </c>
    </row>
    <row r="227" spans="1:21">
      <c r="A227" s="47" t="s">
        <v>18</v>
      </c>
      <c r="B227" s="48"/>
      <c r="C227" s="48"/>
      <c r="D227" s="43"/>
      <c r="E227" s="173"/>
      <c r="F227" s="4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</row>
    <row r="228" spans="1:21">
      <c r="A228" s="67" t="s">
        <v>19</v>
      </c>
      <c r="B228" s="48">
        <f>B224</f>
        <v>0</v>
      </c>
      <c r="C228" s="48">
        <f>C224</f>
        <v>0</v>
      </c>
      <c r="D228" s="43"/>
      <c r="E228" s="173"/>
      <c r="F228" s="43"/>
      <c r="G228" s="53"/>
      <c r="H228" s="53"/>
      <c r="I228" s="53"/>
      <c r="J228" s="53"/>
      <c r="K228" s="53"/>
      <c r="L228" s="53">
        <f>G228+H228+I228-J228+K228</f>
        <v>0</v>
      </c>
      <c r="M228" s="53"/>
      <c r="N228" s="53">
        <f>L228-M228</f>
        <v>0</v>
      </c>
      <c r="O228" s="53"/>
      <c r="P228" s="53"/>
      <c r="Q228" s="53">
        <f>N228-O228-P228</f>
        <v>0</v>
      </c>
    </row>
    <row r="229" spans="1:21">
      <c r="A229" s="67" t="s">
        <v>20</v>
      </c>
      <c r="B229" s="48">
        <f>B224</f>
        <v>0</v>
      </c>
      <c r="C229" s="48">
        <f>C224</f>
        <v>0</v>
      </c>
      <c r="D229" s="43"/>
      <c r="E229" s="173"/>
      <c r="F229" s="43">
        <v>1380641.78</v>
      </c>
      <c r="G229" s="53"/>
      <c r="H229" s="53"/>
      <c r="I229" s="53"/>
      <c r="J229" s="53"/>
      <c r="K229" s="53"/>
      <c r="L229" s="53">
        <f>G229+H229+I229-J229+K229</f>
        <v>0</v>
      </c>
      <c r="M229" s="53"/>
      <c r="N229" s="53">
        <f>L229-M229</f>
        <v>0</v>
      </c>
      <c r="O229" s="53"/>
      <c r="P229" s="53"/>
      <c r="Q229" s="53">
        <f>N229-O229-P229</f>
        <v>0</v>
      </c>
    </row>
    <row r="230" spans="1:21">
      <c r="A230" s="47"/>
      <c r="B230" s="48"/>
      <c r="C230" s="48"/>
      <c r="D230" s="43"/>
      <c r="E230" s="173"/>
      <c r="F230" s="4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</row>
    <row r="231" spans="1:21" s="50" customFormat="1" ht="13.5" thickBot="1">
      <c r="A231" s="60" t="str">
        <f>"TOTAL "&amp;A222</f>
        <v>TOTAL SPARKS RDA #2</v>
      </c>
      <c r="B231" s="68">
        <f>B224</f>
        <v>0</v>
      </c>
      <c r="C231" s="68">
        <f>C224</f>
        <v>0</v>
      </c>
      <c r="D231" s="69">
        <f t="shared" ref="D231:Q231" si="57">SUM(D224:D226,D228:D229)</f>
        <v>481</v>
      </c>
      <c r="E231" s="204"/>
      <c r="F231" s="69">
        <f t="shared" si="57"/>
        <v>358006148.77999997</v>
      </c>
      <c r="G231" s="70">
        <f t="shared" si="57"/>
        <v>10514.82</v>
      </c>
      <c r="H231" s="70">
        <f t="shared" si="57"/>
        <v>8001550.9699999997</v>
      </c>
      <c r="I231" s="70">
        <f t="shared" si="57"/>
        <v>0</v>
      </c>
      <c r="J231" s="70">
        <f t="shared" si="57"/>
        <v>498351.3</v>
      </c>
      <c r="K231" s="70">
        <f t="shared" si="57"/>
        <v>477.73</v>
      </c>
      <c r="L231" s="70">
        <f t="shared" si="57"/>
        <v>7514192.2200000007</v>
      </c>
      <c r="M231" s="70">
        <f t="shared" si="57"/>
        <v>418585.5</v>
      </c>
      <c r="N231" s="70">
        <f t="shared" si="57"/>
        <v>7095606.7200000007</v>
      </c>
      <c r="O231" s="70">
        <f t="shared" si="57"/>
        <v>0</v>
      </c>
      <c r="P231" s="70">
        <f t="shared" si="57"/>
        <v>0</v>
      </c>
      <c r="Q231" s="70">
        <f t="shared" si="57"/>
        <v>7095606.7200000007</v>
      </c>
      <c r="T231" s="451"/>
    </row>
    <row r="232" spans="1:21">
      <c r="A232" s="150" t="s">
        <v>355</v>
      </c>
      <c r="B232" s="48"/>
      <c r="C232" s="48"/>
      <c r="D232" s="43"/>
      <c r="E232" s="173"/>
      <c r="F232" s="64">
        <v>286581429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T232" s="450"/>
    </row>
    <row r="233" spans="1:21">
      <c r="A233" s="151" t="s">
        <v>30</v>
      </c>
      <c r="B233" s="51"/>
      <c r="C233" s="51"/>
      <c r="D233" s="52"/>
      <c r="E233" s="203"/>
      <c r="F233" s="152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T233" s="450"/>
    </row>
    <row r="234" spans="1:21">
      <c r="A234" s="15" t="s">
        <v>451</v>
      </c>
      <c r="G234" s="64"/>
      <c r="H234" s="53"/>
      <c r="I234" s="53"/>
      <c r="J234" s="53"/>
      <c r="K234" s="53"/>
      <c r="L234" s="53"/>
      <c r="M234" s="53"/>
      <c r="N234" s="53"/>
      <c r="O234" s="53"/>
      <c r="P234" s="53"/>
      <c r="Q234" s="53"/>
    </row>
    <row r="235" spans="1:21">
      <c r="E235" s="65">
        <v>8392954</v>
      </c>
      <c r="G235" s="53"/>
      <c r="H235" s="53"/>
      <c r="I235" s="53"/>
      <c r="J235" s="95">
        <f>J236/B236*100</f>
        <v>26979176.829268295</v>
      </c>
      <c r="K235" s="53"/>
      <c r="L235" s="53"/>
      <c r="M235" s="53"/>
      <c r="N235" s="53"/>
      <c r="O235" s="53"/>
      <c r="P235" s="53"/>
      <c r="Q235" s="53"/>
    </row>
    <row r="236" spans="1:21">
      <c r="A236" s="49" t="s">
        <v>15</v>
      </c>
      <c r="B236" s="48">
        <v>0.2296</v>
      </c>
      <c r="C236" s="48">
        <v>0</v>
      </c>
      <c r="D236" s="43">
        <v>6382</v>
      </c>
      <c r="E236" s="173">
        <f>G236/B236*100</f>
        <v>1247547.9094076655</v>
      </c>
      <c r="F236" s="43">
        <v>444848975</v>
      </c>
      <c r="G236" s="53">
        <v>2864.37</v>
      </c>
      <c r="H236" s="53">
        <v>1018508.63</v>
      </c>
      <c r="I236" s="53">
        <v>0</v>
      </c>
      <c r="J236" s="53">
        <v>61944.19</v>
      </c>
      <c r="K236" s="53">
        <v>0</v>
      </c>
      <c r="L236" s="53">
        <f>G236+H236+I236-J236+K236</f>
        <v>959428.81</v>
      </c>
      <c r="M236" s="53">
        <v>510962.73</v>
      </c>
      <c r="N236" s="53">
        <f>L236-M236</f>
        <v>448466.08000000007</v>
      </c>
      <c r="O236" s="53">
        <v>0</v>
      </c>
      <c r="P236" s="53">
        <v>0</v>
      </c>
      <c r="Q236" s="53">
        <f>N236-O236-P236</f>
        <v>448466.08000000007</v>
      </c>
    </row>
    <row r="237" spans="1:21">
      <c r="A237" s="47" t="s">
        <v>16</v>
      </c>
      <c r="B237" s="48">
        <f>B236</f>
        <v>0.2296</v>
      </c>
      <c r="C237" s="48">
        <f>C236</f>
        <v>0</v>
      </c>
      <c r="D237" s="43"/>
      <c r="E237" s="173"/>
      <c r="F237" s="65">
        <f>IF(E235&gt;E236,E235-E236,0)</f>
        <v>7145406.090592334</v>
      </c>
      <c r="G237" s="53">
        <f>F237*(B237-C237)/100</f>
        <v>16405.852383999998</v>
      </c>
      <c r="H237" s="53"/>
      <c r="I237" s="53">
        <f>F237*C237/100</f>
        <v>0</v>
      </c>
      <c r="J237" s="53"/>
      <c r="K237" s="53"/>
      <c r="L237" s="53">
        <f>G237+H237+I237-J237+K237</f>
        <v>16405.852383999998</v>
      </c>
      <c r="M237" s="53"/>
      <c r="N237" s="53">
        <f>L237-M237</f>
        <v>16405.852383999998</v>
      </c>
      <c r="O237" s="53"/>
      <c r="P237" s="53"/>
      <c r="Q237" s="53">
        <f>N237-O237-P237</f>
        <v>16405.852383999998</v>
      </c>
    </row>
    <row r="238" spans="1:21">
      <c r="A238" s="47" t="s">
        <v>17</v>
      </c>
      <c r="B238" s="48">
        <f>B236</f>
        <v>0.2296</v>
      </c>
      <c r="C238" s="48">
        <f>C236</f>
        <v>0</v>
      </c>
      <c r="D238" s="43"/>
      <c r="E238" s="173"/>
      <c r="F238" s="66">
        <v>10622218</v>
      </c>
      <c r="G238" s="53"/>
      <c r="H238" s="53">
        <f>F238*(B238-C238)/100</f>
        <v>24388.612527999998</v>
      </c>
      <c r="I238" s="53">
        <f>F238*C238/100</f>
        <v>0</v>
      </c>
      <c r="J238" s="53">
        <v>0</v>
      </c>
      <c r="K238" s="53">
        <v>0</v>
      </c>
      <c r="L238" s="53">
        <f>G238+H238+I238-J238+K238</f>
        <v>24388.612527999998</v>
      </c>
      <c r="M238" s="53">
        <v>0</v>
      </c>
      <c r="N238" s="53">
        <f>L238-M238</f>
        <v>24388.612527999998</v>
      </c>
      <c r="O238" s="53">
        <v>0</v>
      </c>
      <c r="P238" s="53">
        <v>0</v>
      </c>
      <c r="Q238" s="53">
        <f>N238-O238-P238</f>
        <v>24388.612527999998</v>
      </c>
    </row>
    <row r="239" spans="1:21">
      <c r="A239" s="47" t="s">
        <v>18</v>
      </c>
      <c r="B239" s="48"/>
      <c r="C239" s="48"/>
      <c r="D239" s="43"/>
      <c r="E239" s="173"/>
      <c r="F239" s="4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</row>
    <row r="240" spans="1:21">
      <c r="A240" s="67" t="s">
        <v>19</v>
      </c>
      <c r="B240" s="48">
        <f>B236</f>
        <v>0.2296</v>
      </c>
      <c r="C240" s="48">
        <f>C236</f>
        <v>0</v>
      </c>
      <c r="D240" s="43"/>
      <c r="E240" s="173"/>
      <c r="F240" s="43">
        <v>16673261.24</v>
      </c>
      <c r="G240" s="53">
        <v>48121.07</v>
      </c>
      <c r="H240" s="53">
        <v>9831.0400000000009</v>
      </c>
      <c r="I240" s="53">
        <v>0</v>
      </c>
      <c r="J240" s="53">
        <v>3582.39</v>
      </c>
      <c r="K240" s="53">
        <v>0</v>
      </c>
      <c r="L240" s="53">
        <f>G240+H240+I240-J240+K240</f>
        <v>54369.72</v>
      </c>
      <c r="M240" s="53">
        <v>1784.36</v>
      </c>
      <c r="N240" s="53">
        <f>L240-M240</f>
        <v>52585.36</v>
      </c>
      <c r="O240" s="53">
        <v>0</v>
      </c>
      <c r="P240" s="53">
        <v>0</v>
      </c>
      <c r="Q240" s="53">
        <f>N240-O240-P240</f>
        <v>52585.36</v>
      </c>
    </row>
    <row r="241" spans="1:20">
      <c r="A241" s="67" t="s">
        <v>20</v>
      </c>
      <c r="B241" s="48">
        <f>B236</f>
        <v>0.2296</v>
      </c>
      <c r="C241" s="48">
        <f>C236</f>
        <v>0</v>
      </c>
      <c r="D241" s="43"/>
      <c r="E241" s="173"/>
      <c r="F241" s="43">
        <v>3475018.24</v>
      </c>
      <c r="G241" s="53">
        <v>7771.62</v>
      </c>
      <c r="H241" s="53">
        <v>207.01</v>
      </c>
      <c r="I241" s="53">
        <v>0</v>
      </c>
      <c r="J241" s="53">
        <v>0</v>
      </c>
      <c r="K241" s="53">
        <v>0</v>
      </c>
      <c r="L241" s="53">
        <f>G241+H241+I241-J241+K241</f>
        <v>7978.63</v>
      </c>
      <c r="M241" s="53">
        <v>0</v>
      </c>
      <c r="N241" s="53">
        <f>L241-M241</f>
        <v>7978.63</v>
      </c>
      <c r="O241" s="53">
        <v>0</v>
      </c>
      <c r="P241" s="53">
        <v>0</v>
      </c>
      <c r="Q241" s="53">
        <f>N241-O241-P241</f>
        <v>7978.63</v>
      </c>
    </row>
    <row r="242" spans="1:20">
      <c r="A242" s="47"/>
      <c r="B242" s="48"/>
      <c r="C242" s="48"/>
      <c r="D242" s="43"/>
      <c r="E242" s="173"/>
      <c r="F242" s="4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</row>
    <row r="243" spans="1:20" s="50" customFormat="1" ht="13.5" thickBot="1">
      <c r="A243" s="60" t="str">
        <f>"TOTAL "&amp;A234</f>
        <v>TOTAL SUN VALLEY GID</v>
      </c>
      <c r="B243" s="68">
        <f>B236</f>
        <v>0.2296</v>
      </c>
      <c r="C243" s="68">
        <f>C236</f>
        <v>0</v>
      </c>
      <c r="D243" s="69">
        <f t="shared" ref="D243:Q243" si="58">SUM(D236:D238,D240:D241)</f>
        <v>6382</v>
      </c>
      <c r="E243" s="204"/>
      <c r="F243" s="69">
        <f t="shared" si="58"/>
        <v>482764878.57059234</v>
      </c>
      <c r="G243" s="70">
        <f t="shared" si="58"/>
        <v>75162.912383999996</v>
      </c>
      <c r="H243" s="70">
        <f t="shared" si="58"/>
        <v>1052935.292528</v>
      </c>
      <c r="I243" s="70">
        <f t="shared" si="58"/>
        <v>0</v>
      </c>
      <c r="J243" s="70">
        <f t="shared" si="58"/>
        <v>65526.58</v>
      </c>
      <c r="K243" s="70">
        <f t="shared" si="58"/>
        <v>0</v>
      </c>
      <c r="L243" s="70">
        <f t="shared" si="58"/>
        <v>1062571.624912</v>
      </c>
      <c r="M243" s="70">
        <f t="shared" si="58"/>
        <v>512747.08999999997</v>
      </c>
      <c r="N243" s="70">
        <f t="shared" si="58"/>
        <v>549824.53491200006</v>
      </c>
      <c r="O243" s="70">
        <f t="shared" si="58"/>
        <v>0</v>
      </c>
      <c r="P243" s="70">
        <f t="shared" si="58"/>
        <v>0</v>
      </c>
      <c r="Q243" s="70">
        <f t="shared" si="58"/>
        <v>549824.53491200006</v>
      </c>
      <c r="T243" s="451"/>
    </row>
    <row r="244" spans="1:20">
      <c r="A244" s="150" t="s">
        <v>355</v>
      </c>
      <c r="B244" s="48"/>
      <c r="C244" s="48"/>
      <c r="D244" s="43"/>
      <c r="E244" s="173"/>
      <c r="F244" s="64">
        <v>450363132</v>
      </c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T244" s="450"/>
    </row>
    <row r="245" spans="1:20">
      <c r="A245" s="151" t="s">
        <v>30</v>
      </c>
      <c r="B245" s="51"/>
      <c r="C245" s="51"/>
      <c r="D245" s="52"/>
      <c r="E245" s="203"/>
      <c r="F245" s="152">
        <f>(F243-ROUND(J236/B236*100,0))-F244</f>
        <v>5422569.5705923438</v>
      </c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T245" s="450"/>
    </row>
    <row r="246" spans="1:20">
      <c r="A246" s="15" t="s">
        <v>452</v>
      </c>
      <c r="G246" s="64"/>
      <c r="H246" s="53"/>
      <c r="I246" s="53"/>
      <c r="J246" s="53"/>
      <c r="K246" s="53"/>
      <c r="L246" s="53"/>
      <c r="M246" s="53"/>
      <c r="N246" s="53"/>
      <c r="O246" s="53"/>
      <c r="P246" s="53"/>
      <c r="Q246" s="53"/>
    </row>
    <row r="247" spans="1:20">
      <c r="A247" s="83"/>
      <c r="B247" s="85"/>
      <c r="C247" s="85"/>
      <c r="D247" s="85"/>
      <c r="E247" s="65">
        <v>251073420</v>
      </c>
      <c r="G247" s="86"/>
      <c r="H247" s="53"/>
      <c r="I247" s="53"/>
      <c r="J247" s="95">
        <f>J248/B248*100</f>
        <v>617214324.07407403</v>
      </c>
      <c r="K247" s="53"/>
      <c r="L247" s="53"/>
      <c r="M247" s="53"/>
      <c r="N247" s="53"/>
      <c r="O247" s="53"/>
      <c r="P247" s="53"/>
      <c r="Q247" s="53"/>
    </row>
    <row r="248" spans="1:20">
      <c r="A248" s="49" t="s">
        <v>15</v>
      </c>
      <c r="B248" s="48">
        <v>0.54</v>
      </c>
      <c r="C248" s="48">
        <v>0</v>
      </c>
      <c r="D248" s="43">
        <v>47377</v>
      </c>
      <c r="E248" s="173">
        <f>G248/B248*100</f>
        <v>11270033.333333332</v>
      </c>
      <c r="F248" s="43">
        <v>7694733424</v>
      </c>
      <c r="G248" s="53">
        <v>60858.18</v>
      </c>
      <c r="H248" s="53">
        <v>41490710.299999997</v>
      </c>
      <c r="I248" s="53">
        <v>0</v>
      </c>
      <c r="J248" s="53">
        <v>3332957.35</v>
      </c>
      <c r="K248" s="53">
        <v>241.17</v>
      </c>
      <c r="L248" s="53">
        <f>G248+H248+I248-J248+K248</f>
        <v>38218852.299999997</v>
      </c>
      <c r="M248" s="53">
        <v>9579873.8900000006</v>
      </c>
      <c r="N248" s="53">
        <f>L248-M248</f>
        <v>28638978.409999996</v>
      </c>
      <c r="O248" s="53">
        <v>0</v>
      </c>
      <c r="P248" s="53">
        <v>0</v>
      </c>
      <c r="Q248" s="53">
        <f>N248-O248-P248</f>
        <v>28638978.409999996</v>
      </c>
    </row>
    <row r="249" spans="1:20">
      <c r="A249" s="47" t="s">
        <v>16</v>
      </c>
      <c r="B249" s="48">
        <f>B248</f>
        <v>0.54</v>
      </c>
      <c r="C249" s="48">
        <f>C248</f>
        <v>0</v>
      </c>
      <c r="D249" s="43"/>
      <c r="E249" s="173"/>
      <c r="F249" s="65">
        <f>IF(E247&gt;E248,E247-E248,0)</f>
        <v>239803386.66666666</v>
      </c>
      <c r="G249" s="53">
        <f>F249*(B249-C249)/100</f>
        <v>1294938.2879999999</v>
      </c>
      <c r="H249" s="53"/>
      <c r="I249" s="53">
        <f>F249*C249/100</f>
        <v>0</v>
      </c>
      <c r="J249" s="53"/>
      <c r="K249" s="53"/>
      <c r="L249" s="53">
        <f>G249+H249+I249-J249+K249</f>
        <v>1294938.2879999999</v>
      </c>
      <c r="M249" s="53"/>
      <c r="N249" s="53">
        <f>L249-M249</f>
        <v>1294938.2879999999</v>
      </c>
      <c r="O249" s="53"/>
      <c r="P249" s="53"/>
      <c r="Q249" s="53">
        <f>N249-O249-P249</f>
        <v>1294938.2879999999</v>
      </c>
    </row>
    <row r="250" spans="1:20">
      <c r="A250" s="47" t="s">
        <v>17</v>
      </c>
      <c r="B250" s="48">
        <f>B248</f>
        <v>0.54</v>
      </c>
      <c r="C250" s="48">
        <f>C248</f>
        <v>0</v>
      </c>
      <c r="D250" s="43"/>
      <c r="E250" s="173"/>
      <c r="F250" s="66">
        <v>87987373</v>
      </c>
      <c r="G250" s="53"/>
      <c r="H250" s="53">
        <f>F250*(B250-C250)/100</f>
        <v>475131.81420000002</v>
      </c>
      <c r="I250" s="53">
        <f>F250*C250/100</f>
        <v>0</v>
      </c>
      <c r="J250" s="53">
        <v>0</v>
      </c>
      <c r="K250" s="53">
        <v>0</v>
      </c>
      <c r="L250" s="53">
        <f>G250+H250+I250-J250+K250</f>
        <v>475131.81420000002</v>
      </c>
      <c r="M250" s="53">
        <v>0</v>
      </c>
      <c r="N250" s="53">
        <f>L250-M250</f>
        <v>475131.81420000002</v>
      </c>
      <c r="O250" s="53">
        <v>0</v>
      </c>
      <c r="P250" s="53">
        <v>0</v>
      </c>
      <c r="Q250" s="53">
        <f>N250-O250-P250</f>
        <v>475131.81420000002</v>
      </c>
    </row>
    <row r="251" spans="1:20">
      <c r="A251" s="47" t="s">
        <v>18</v>
      </c>
      <c r="B251" s="48"/>
      <c r="C251" s="48"/>
      <c r="D251" s="43"/>
      <c r="E251" s="173"/>
      <c r="F251" s="4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</row>
    <row r="252" spans="1:20">
      <c r="A252" s="67" t="s">
        <v>19</v>
      </c>
      <c r="B252" s="48">
        <f>B248</f>
        <v>0.54</v>
      </c>
      <c r="C252" s="48">
        <f>C248</f>
        <v>0</v>
      </c>
      <c r="D252" s="43"/>
      <c r="E252" s="173"/>
      <c r="F252" s="43">
        <v>154813471.22999999</v>
      </c>
      <c r="G252" s="53">
        <v>1328039.24</v>
      </c>
      <c r="H252" s="53">
        <v>491603.58</v>
      </c>
      <c r="I252" s="53">
        <v>0</v>
      </c>
      <c r="J252" s="53">
        <v>82027.78</v>
      </c>
      <c r="K252" s="53">
        <v>0</v>
      </c>
      <c r="L252" s="53">
        <f>G252+H252+I252-J252+K252</f>
        <v>1737615.04</v>
      </c>
      <c r="M252" s="53">
        <v>22625.79</v>
      </c>
      <c r="N252" s="53">
        <f>L252-M252</f>
        <v>1714989.25</v>
      </c>
      <c r="O252" s="53">
        <v>0</v>
      </c>
      <c r="P252" s="53">
        <v>0</v>
      </c>
      <c r="Q252" s="53">
        <f>N252-O252-P252</f>
        <v>1714989.25</v>
      </c>
    </row>
    <row r="253" spans="1:20">
      <c r="A253" s="67" t="s">
        <v>20</v>
      </c>
      <c r="B253" s="48">
        <f>B248</f>
        <v>0.54</v>
      </c>
      <c r="C253" s="48">
        <f>C248</f>
        <v>0</v>
      </c>
      <c r="D253" s="43"/>
      <c r="E253" s="173"/>
      <c r="F253" s="43">
        <v>21117534.600000001</v>
      </c>
      <c r="G253" s="53">
        <v>107686.37</v>
      </c>
      <c r="H253" s="53">
        <v>6348.22</v>
      </c>
      <c r="I253" s="53">
        <v>0</v>
      </c>
      <c r="J253" s="53">
        <v>0</v>
      </c>
      <c r="K253" s="53">
        <v>0</v>
      </c>
      <c r="L253" s="53">
        <f>G253+H253+I253-J253+K253</f>
        <v>114034.59</v>
      </c>
      <c r="M253" s="53">
        <v>1.21</v>
      </c>
      <c r="N253" s="53">
        <f>L253-M253</f>
        <v>114033.37999999999</v>
      </c>
      <c r="O253" s="53">
        <v>0</v>
      </c>
      <c r="P253" s="53">
        <v>0</v>
      </c>
      <c r="Q253" s="53">
        <f>N253-O253-P253</f>
        <v>114033.37999999999</v>
      </c>
    </row>
    <row r="254" spans="1:20">
      <c r="A254" s="47"/>
      <c r="B254" s="48"/>
      <c r="C254" s="48"/>
      <c r="D254" s="43"/>
      <c r="E254" s="173"/>
      <c r="F254" s="4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</row>
    <row r="255" spans="1:20" s="50" customFormat="1" ht="13.5" thickBot="1">
      <c r="A255" s="60" t="str">
        <f>"TOTAL "&amp;A246</f>
        <v xml:space="preserve">TOTAL TRUCKEE MEADOWS FIRE PROTECTION </v>
      </c>
      <c r="B255" s="68">
        <f>B248</f>
        <v>0.54</v>
      </c>
      <c r="C255" s="68">
        <f>C248</f>
        <v>0</v>
      </c>
      <c r="D255" s="69">
        <f t="shared" ref="D255:Q255" si="59">SUM(D248:D250,D252:D253)</f>
        <v>47377</v>
      </c>
      <c r="E255" s="204"/>
      <c r="F255" s="69">
        <f t="shared" si="59"/>
        <v>8198455189.4966669</v>
      </c>
      <c r="G255" s="70">
        <f t="shared" si="59"/>
        <v>2791522.0779999997</v>
      </c>
      <c r="H255" s="70">
        <f t="shared" si="59"/>
        <v>42463793.914199993</v>
      </c>
      <c r="I255" s="70">
        <f t="shared" si="59"/>
        <v>0</v>
      </c>
      <c r="J255" s="70">
        <f t="shared" si="59"/>
        <v>3414985.13</v>
      </c>
      <c r="K255" s="70">
        <f t="shared" si="59"/>
        <v>241.17</v>
      </c>
      <c r="L255" s="70">
        <f t="shared" si="59"/>
        <v>41840572.032200001</v>
      </c>
      <c r="M255" s="70">
        <f t="shared" si="59"/>
        <v>9602500.8900000006</v>
      </c>
      <c r="N255" s="70">
        <f t="shared" si="59"/>
        <v>32238071.142199993</v>
      </c>
      <c r="O255" s="70">
        <f t="shared" si="59"/>
        <v>0</v>
      </c>
      <c r="P255" s="70">
        <f t="shared" si="59"/>
        <v>0</v>
      </c>
      <c r="Q255" s="70">
        <f t="shared" si="59"/>
        <v>32238071.142199993</v>
      </c>
      <c r="T255" s="451"/>
    </row>
    <row r="256" spans="1:20">
      <c r="A256" s="150" t="s">
        <v>355</v>
      </c>
      <c r="B256" s="48"/>
      <c r="C256" s="48"/>
      <c r="D256" s="43"/>
      <c r="E256" s="173"/>
      <c r="F256" s="64">
        <v>7557302046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T256" s="450"/>
    </row>
    <row r="257" spans="1:20">
      <c r="A257" s="151" t="s">
        <v>30</v>
      </c>
      <c r="B257" s="51"/>
      <c r="C257" s="51"/>
      <c r="D257" s="52"/>
      <c r="E257" s="203"/>
      <c r="F257" s="152">
        <f>(F255-ROUND(J248/B248*100,0))-F256</f>
        <v>23938819.496666908</v>
      </c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T257" s="450"/>
    </row>
    <row r="258" spans="1:20" hidden="1">
      <c r="A258" s="54" t="s">
        <v>239</v>
      </c>
      <c r="B258" s="84"/>
      <c r="C258" s="84"/>
      <c r="D258" s="84"/>
      <c r="E258" s="210"/>
      <c r="F258" s="84"/>
      <c r="G258" s="64"/>
      <c r="H258" s="53"/>
      <c r="I258" s="53"/>
      <c r="J258" s="53"/>
      <c r="K258" s="53"/>
      <c r="L258" s="53"/>
      <c r="M258" s="53"/>
      <c r="N258" s="53"/>
      <c r="O258" s="53"/>
      <c r="P258" s="53"/>
      <c r="Q258" s="53"/>
    </row>
    <row r="259" spans="1:20" hidden="1">
      <c r="E259" s="65"/>
      <c r="G259" s="53"/>
      <c r="H259" s="53"/>
      <c r="I259" s="53"/>
      <c r="J259" s="95" t="e">
        <f>J260/B260*100</f>
        <v>#DIV/0!</v>
      </c>
      <c r="K259" s="53"/>
      <c r="L259" s="53"/>
      <c r="M259" s="53"/>
      <c r="N259" s="53"/>
      <c r="O259" s="53"/>
      <c r="P259" s="53"/>
      <c r="Q259" s="53"/>
    </row>
    <row r="260" spans="1:20" hidden="1">
      <c r="A260" s="49" t="s">
        <v>15</v>
      </c>
      <c r="B260" s="48"/>
      <c r="C260" s="48"/>
      <c r="D260" s="43"/>
      <c r="E260" s="173" t="e">
        <f>G260/B260*100</f>
        <v>#DIV/0!</v>
      </c>
      <c r="F260" s="43"/>
      <c r="G260" s="53"/>
      <c r="H260" s="53"/>
      <c r="I260" s="53"/>
      <c r="J260" s="53"/>
      <c r="K260" s="53"/>
      <c r="L260" s="53">
        <f>G260+H260+I260-J260+K260</f>
        <v>0</v>
      </c>
      <c r="M260" s="53"/>
      <c r="N260" s="53">
        <f>L260-M260</f>
        <v>0</v>
      </c>
      <c r="O260" s="53"/>
      <c r="P260" s="53"/>
      <c r="Q260" s="53">
        <f>N260-O260-P260</f>
        <v>0</v>
      </c>
    </row>
    <row r="261" spans="1:20" hidden="1">
      <c r="A261" s="47" t="s">
        <v>16</v>
      </c>
      <c r="B261" s="48">
        <f>B260</f>
        <v>0</v>
      </c>
      <c r="C261" s="48">
        <f>C260</f>
        <v>0</v>
      </c>
      <c r="D261" s="43"/>
      <c r="E261" s="173"/>
      <c r="F261" s="65"/>
      <c r="G261" s="53">
        <f>F261*(B261-C261)/100</f>
        <v>0</v>
      </c>
      <c r="H261" s="53"/>
      <c r="I261" s="53">
        <f>F261*C261/100</f>
        <v>0</v>
      </c>
      <c r="J261" s="53"/>
      <c r="K261" s="53"/>
      <c r="L261" s="53">
        <f>G261+H261+I261-J261+K261</f>
        <v>0</v>
      </c>
      <c r="M261" s="53"/>
      <c r="N261" s="53">
        <f>L261-M261</f>
        <v>0</v>
      </c>
      <c r="O261" s="53"/>
      <c r="P261" s="53"/>
      <c r="Q261" s="53">
        <f>N261-O261-P261</f>
        <v>0</v>
      </c>
    </row>
    <row r="262" spans="1:20" hidden="1">
      <c r="A262" s="47" t="s">
        <v>17</v>
      </c>
      <c r="B262" s="48">
        <f>B260</f>
        <v>0</v>
      </c>
      <c r="C262" s="48">
        <f>C260</f>
        <v>0</v>
      </c>
      <c r="D262" s="43"/>
      <c r="E262" s="173"/>
      <c r="F262" s="66"/>
      <c r="G262" s="53"/>
      <c r="H262" s="53">
        <f>F262*(B262-C262)/100</f>
        <v>0</v>
      </c>
      <c r="I262" s="53">
        <f>F262*C262/100</f>
        <v>0</v>
      </c>
      <c r="J262" s="53"/>
      <c r="K262" s="53"/>
      <c r="L262" s="53">
        <f>G262+H262+I262-J262+K262</f>
        <v>0</v>
      </c>
      <c r="M262" s="53"/>
      <c r="N262" s="53">
        <f>L262-M262</f>
        <v>0</v>
      </c>
      <c r="O262" s="53"/>
      <c r="P262" s="53"/>
      <c r="Q262" s="53">
        <f>N262-O262-P262</f>
        <v>0</v>
      </c>
    </row>
    <row r="263" spans="1:20" hidden="1">
      <c r="A263" s="47" t="s">
        <v>18</v>
      </c>
      <c r="B263" s="48"/>
      <c r="C263" s="48"/>
      <c r="D263" s="43"/>
      <c r="E263" s="173"/>
      <c r="F263" s="4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</row>
    <row r="264" spans="1:20" hidden="1">
      <c r="A264" s="67" t="s">
        <v>19</v>
      </c>
      <c r="B264" s="48">
        <f>B260</f>
        <v>0</v>
      </c>
      <c r="C264" s="48">
        <f>C260</f>
        <v>0</v>
      </c>
      <c r="D264" s="43"/>
      <c r="E264" s="173"/>
      <c r="F264" s="43"/>
      <c r="G264" s="53"/>
      <c r="H264" s="53"/>
      <c r="I264" s="53"/>
      <c r="J264" s="53"/>
      <c r="K264" s="53"/>
      <c r="L264" s="53">
        <f>G264+H264+I264-J264+K264</f>
        <v>0</v>
      </c>
      <c r="M264" s="53"/>
      <c r="N264" s="53">
        <f>L264-M264</f>
        <v>0</v>
      </c>
      <c r="O264" s="53"/>
      <c r="P264" s="53"/>
      <c r="Q264" s="53">
        <f>N264-O264-P264</f>
        <v>0</v>
      </c>
    </row>
    <row r="265" spans="1:20" hidden="1">
      <c r="A265" s="67" t="s">
        <v>20</v>
      </c>
      <c r="B265" s="48">
        <f>B260</f>
        <v>0</v>
      </c>
      <c r="C265" s="48">
        <f>C260</f>
        <v>0</v>
      </c>
      <c r="D265" s="43"/>
      <c r="E265" s="173"/>
      <c r="F265" s="43"/>
      <c r="G265" s="53"/>
      <c r="H265" s="53"/>
      <c r="I265" s="53"/>
      <c r="J265" s="53"/>
      <c r="K265" s="53"/>
      <c r="L265" s="53">
        <f>G265+H265+I265-J265+K265</f>
        <v>0</v>
      </c>
      <c r="M265" s="53"/>
      <c r="N265" s="53">
        <f>L265-M265</f>
        <v>0</v>
      </c>
      <c r="O265" s="53"/>
      <c r="P265" s="53"/>
      <c r="Q265" s="53">
        <f>N265-O265-P265</f>
        <v>0</v>
      </c>
    </row>
    <row r="266" spans="1:20" hidden="1">
      <c r="A266" s="47"/>
      <c r="B266" s="48"/>
      <c r="C266" s="48"/>
      <c r="D266" s="43"/>
      <c r="E266" s="173"/>
      <c r="F266" s="4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</row>
    <row r="267" spans="1:20" s="50" customFormat="1" ht="13.5" hidden="1" thickBot="1">
      <c r="A267" s="60" t="str">
        <f>"TOTAL "&amp;A258</f>
        <v>TOTAL TRUCKEE MEADOWS UNDERGROUND WATER</v>
      </c>
      <c r="B267" s="68">
        <f>B260</f>
        <v>0</v>
      </c>
      <c r="C267" s="68">
        <f>C260</f>
        <v>0</v>
      </c>
      <c r="D267" s="69">
        <f t="shared" ref="D267:Q267" si="60">SUM(D260:D262,D264:D265)</f>
        <v>0</v>
      </c>
      <c r="E267" s="204"/>
      <c r="F267" s="69">
        <f t="shared" si="60"/>
        <v>0</v>
      </c>
      <c r="G267" s="70">
        <f t="shared" si="60"/>
        <v>0</v>
      </c>
      <c r="H267" s="70">
        <f t="shared" si="60"/>
        <v>0</v>
      </c>
      <c r="I267" s="70">
        <f t="shared" si="60"/>
        <v>0</v>
      </c>
      <c r="J267" s="70">
        <f t="shared" si="60"/>
        <v>0</v>
      </c>
      <c r="K267" s="70">
        <f t="shared" si="60"/>
        <v>0</v>
      </c>
      <c r="L267" s="70">
        <f t="shared" si="60"/>
        <v>0</v>
      </c>
      <c r="M267" s="70">
        <f t="shared" si="60"/>
        <v>0</v>
      </c>
      <c r="N267" s="70">
        <f t="shared" si="60"/>
        <v>0</v>
      </c>
      <c r="O267" s="70">
        <f t="shared" si="60"/>
        <v>0</v>
      </c>
      <c r="P267" s="70">
        <f t="shared" si="60"/>
        <v>0</v>
      </c>
      <c r="Q267" s="70">
        <f t="shared" si="60"/>
        <v>0</v>
      </c>
      <c r="T267" s="451"/>
    </row>
    <row r="268" spans="1:20" hidden="1">
      <c r="A268" s="150" t="s">
        <v>355</v>
      </c>
      <c r="B268" s="48"/>
      <c r="C268" s="48"/>
      <c r="D268" s="43"/>
      <c r="E268" s="173"/>
      <c r="F268" s="64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T268" s="450"/>
    </row>
    <row r="269" spans="1:20" hidden="1">
      <c r="A269" s="151" t="s">
        <v>30</v>
      </c>
      <c r="B269" s="51"/>
      <c r="C269" s="51"/>
      <c r="D269" s="52"/>
      <c r="E269" s="203"/>
      <c r="F269" s="152" t="e">
        <f>(F267-ROUND(J260/B260*100,0))-F268</f>
        <v>#DIV/0!</v>
      </c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T269" s="450"/>
    </row>
    <row r="270" spans="1:20">
      <c r="A270" s="54" t="s">
        <v>375</v>
      </c>
      <c r="B270" s="84"/>
      <c r="C270" s="84"/>
      <c r="D270" s="84"/>
      <c r="E270" s="210"/>
      <c r="F270" s="84"/>
      <c r="G270" s="64"/>
      <c r="H270" s="53"/>
      <c r="I270" s="53"/>
      <c r="J270" s="53"/>
      <c r="K270" s="53"/>
      <c r="L270" s="53"/>
      <c r="M270" s="53"/>
      <c r="N270" s="53"/>
      <c r="O270" s="53"/>
      <c r="P270" s="53"/>
      <c r="Q270" s="53"/>
    </row>
    <row r="271" spans="1:20">
      <c r="E271" s="65">
        <v>398797</v>
      </c>
      <c r="G271" s="53"/>
      <c r="H271" s="53"/>
      <c r="I271" s="53"/>
      <c r="J271" s="95">
        <f>J272/B272*100</f>
        <v>1746797.8652434954</v>
      </c>
      <c r="K271" s="53"/>
      <c r="L271" s="53"/>
      <c r="M271" s="53"/>
      <c r="N271" s="53"/>
      <c r="O271" s="53"/>
      <c r="P271" s="53"/>
      <c r="Q271" s="53"/>
    </row>
    <row r="272" spans="1:20">
      <c r="A272" s="49" t="s">
        <v>15</v>
      </c>
      <c r="B272" s="17">
        <v>0.29980000000000001</v>
      </c>
      <c r="C272" s="48">
        <v>0</v>
      </c>
      <c r="D272" s="43">
        <v>195</v>
      </c>
      <c r="E272" s="173">
        <f>G272/B272*100</f>
        <v>48085.390260173444</v>
      </c>
      <c r="F272" s="43">
        <v>5858660</v>
      </c>
      <c r="G272" s="53">
        <v>144.16</v>
      </c>
      <c r="H272" s="53">
        <v>17420.18</v>
      </c>
      <c r="I272" s="53">
        <v>0</v>
      </c>
      <c r="J272" s="53">
        <v>5236.8999999999996</v>
      </c>
      <c r="K272" s="53">
        <v>0</v>
      </c>
      <c r="L272" s="53">
        <f>G272+H272+I272-J272+K272</f>
        <v>12327.44</v>
      </c>
      <c r="M272" s="53">
        <v>2514.58</v>
      </c>
      <c r="N272" s="53">
        <f>L272-M272</f>
        <v>9812.86</v>
      </c>
      <c r="O272" s="53">
        <v>0</v>
      </c>
      <c r="P272" s="53">
        <v>0</v>
      </c>
      <c r="Q272" s="53">
        <f>N272-O272-P272</f>
        <v>9812.86</v>
      </c>
    </row>
    <row r="273" spans="1:20">
      <c r="A273" s="47" t="s">
        <v>16</v>
      </c>
      <c r="B273" s="48">
        <f>B272</f>
        <v>0.29980000000000001</v>
      </c>
      <c r="C273" s="48">
        <f>C272</f>
        <v>0</v>
      </c>
      <c r="D273" s="43"/>
      <c r="E273" s="173"/>
      <c r="F273" s="65">
        <f>IF(E271&gt;E272,E271-E272,0)</f>
        <v>350711.60973982653</v>
      </c>
      <c r="G273" s="53">
        <f>F273*(B273-C273)/100</f>
        <v>1051.4334059999999</v>
      </c>
      <c r="H273" s="53"/>
      <c r="I273" s="53">
        <f>F273*C273/100</f>
        <v>0</v>
      </c>
      <c r="J273" s="53"/>
      <c r="K273" s="53"/>
      <c r="L273" s="53">
        <f>G273+H273+I273-J273+K273</f>
        <v>1051.4334059999999</v>
      </c>
      <c r="M273" s="53"/>
      <c r="N273" s="53">
        <f>L273-M273</f>
        <v>1051.4334059999999</v>
      </c>
      <c r="O273" s="53"/>
      <c r="P273" s="53"/>
      <c r="Q273" s="53">
        <f>N273-O273-P273</f>
        <v>1051.4334059999999</v>
      </c>
    </row>
    <row r="274" spans="1:20">
      <c r="A274" s="47" t="s">
        <v>17</v>
      </c>
      <c r="B274" s="48">
        <f>B272</f>
        <v>0.29980000000000001</v>
      </c>
      <c r="C274" s="48">
        <f>C272</f>
        <v>0</v>
      </c>
      <c r="D274" s="43"/>
      <c r="E274" s="173"/>
      <c r="F274" s="66">
        <v>1125344</v>
      </c>
      <c r="G274" s="53"/>
      <c r="H274" s="53">
        <f>F274*(B274-C274)/100</f>
        <v>3373.7813120000001</v>
      </c>
      <c r="I274" s="53">
        <f>F274*C274/100</f>
        <v>0</v>
      </c>
      <c r="J274" s="53">
        <v>0</v>
      </c>
      <c r="K274" s="53">
        <v>0</v>
      </c>
      <c r="L274" s="53">
        <f>G274+H274+I274-J274+K274</f>
        <v>3373.7813120000001</v>
      </c>
      <c r="M274" s="53">
        <v>0</v>
      </c>
      <c r="N274" s="53">
        <f>L274-M274</f>
        <v>3373.7813120000001</v>
      </c>
      <c r="O274" s="53">
        <v>0</v>
      </c>
      <c r="P274" s="53">
        <v>0</v>
      </c>
      <c r="Q274" s="53">
        <f>N274-O274-P274</f>
        <v>3373.7813120000001</v>
      </c>
    </row>
    <row r="275" spans="1:20">
      <c r="A275" s="47" t="s">
        <v>18</v>
      </c>
      <c r="B275" s="48"/>
      <c r="C275" s="48"/>
      <c r="D275" s="43"/>
      <c r="E275" s="173"/>
      <c r="F275" s="4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</row>
    <row r="276" spans="1:20">
      <c r="A276" s="67" t="s">
        <v>19</v>
      </c>
      <c r="B276" s="48">
        <f>B272</f>
        <v>0.29980000000000001</v>
      </c>
      <c r="C276" s="48">
        <f>C272</f>
        <v>0</v>
      </c>
      <c r="D276" s="43"/>
      <c r="E276" s="173"/>
      <c r="F276" s="43">
        <v>142240.76999999999</v>
      </c>
      <c r="G276" s="53">
        <v>15.48</v>
      </c>
      <c r="H276" s="53">
        <v>411.02</v>
      </c>
      <c r="I276" s="53">
        <v>0</v>
      </c>
      <c r="J276" s="53">
        <v>17.72</v>
      </c>
      <c r="K276" s="53">
        <v>0</v>
      </c>
      <c r="L276" s="53">
        <f>G276+H276+I276-J276+K276</f>
        <v>408.78</v>
      </c>
      <c r="M276" s="53">
        <v>21.56</v>
      </c>
      <c r="N276" s="53">
        <f>L276-M276</f>
        <v>387.21999999999997</v>
      </c>
      <c r="O276" s="53">
        <v>0</v>
      </c>
      <c r="P276" s="53">
        <v>0</v>
      </c>
      <c r="Q276" s="53">
        <f>N276-O276-P276</f>
        <v>387.21999999999997</v>
      </c>
    </row>
    <row r="277" spans="1:20">
      <c r="A277" s="67" t="s">
        <v>20</v>
      </c>
      <c r="B277" s="48">
        <f>B272</f>
        <v>0.29980000000000001</v>
      </c>
      <c r="C277" s="48">
        <f>C272</f>
        <v>0</v>
      </c>
      <c r="D277" s="43"/>
      <c r="E277" s="173"/>
      <c r="F277" s="43">
        <v>34698.99</v>
      </c>
      <c r="G277" s="53">
        <v>104.03</v>
      </c>
      <c r="H277" s="53"/>
      <c r="I277" s="53">
        <v>0</v>
      </c>
      <c r="J277" s="53">
        <v>0</v>
      </c>
      <c r="K277" s="53">
        <v>0</v>
      </c>
      <c r="L277" s="53">
        <f>G277+H277+I277-J277+K277</f>
        <v>104.03</v>
      </c>
      <c r="M277" s="53">
        <v>0</v>
      </c>
      <c r="N277" s="53">
        <f>L277-M277</f>
        <v>104.03</v>
      </c>
      <c r="O277" s="53">
        <v>0</v>
      </c>
      <c r="P277" s="53">
        <v>0</v>
      </c>
      <c r="Q277" s="53">
        <f>N277-O277-P277</f>
        <v>104.03</v>
      </c>
    </row>
    <row r="278" spans="1:20">
      <c r="A278" s="47"/>
      <c r="B278" s="48"/>
      <c r="C278" s="48"/>
      <c r="D278" s="43"/>
      <c r="E278" s="173"/>
      <c r="F278" s="4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</row>
    <row r="279" spans="1:20" s="50" customFormat="1" ht="13.5" thickBot="1">
      <c r="A279" s="60" t="str">
        <f>"TOTAL "&amp;A270</f>
        <v>TOTAL GERLACH GID</v>
      </c>
      <c r="B279" s="68">
        <f>B272</f>
        <v>0.29980000000000001</v>
      </c>
      <c r="C279" s="68">
        <f>C272</f>
        <v>0</v>
      </c>
      <c r="D279" s="69">
        <f>SUM(D272:D274,D276:D277)</f>
        <v>195</v>
      </c>
      <c r="E279" s="204"/>
      <c r="F279" s="69">
        <f t="shared" ref="F279:Q279" si="61">SUM(F272:F274,F276:F277)</f>
        <v>7511655.3697398268</v>
      </c>
      <c r="G279" s="70">
        <f t="shared" si="61"/>
        <v>1315.1034059999999</v>
      </c>
      <c r="H279" s="70">
        <f t="shared" si="61"/>
        <v>21204.981312</v>
      </c>
      <c r="I279" s="70">
        <f t="shared" si="61"/>
        <v>0</v>
      </c>
      <c r="J279" s="70">
        <f t="shared" si="61"/>
        <v>5254.62</v>
      </c>
      <c r="K279" s="70">
        <f t="shared" si="61"/>
        <v>0</v>
      </c>
      <c r="L279" s="70">
        <f t="shared" si="61"/>
        <v>17265.464717999999</v>
      </c>
      <c r="M279" s="70">
        <f t="shared" si="61"/>
        <v>2536.14</v>
      </c>
      <c r="N279" s="70">
        <f t="shared" si="61"/>
        <v>14729.324718</v>
      </c>
      <c r="O279" s="70">
        <f t="shared" si="61"/>
        <v>0</v>
      </c>
      <c r="P279" s="70">
        <f t="shared" si="61"/>
        <v>0</v>
      </c>
      <c r="Q279" s="70">
        <f t="shared" si="61"/>
        <v>14729.324718</v>
      </c>
      <c r="T279" s="451"/>
    </row>
    <row r="280" spans="1:20">
      <c r="A280" s="150" t="s">
        <v>355</v>
      </c>
      <c r="B280" s="48"/>
      <c r="C280" s="48"/>
      <c r="D280" s="43"/>
      <c r="E280" s="173"/>
      <c r="F280" s="64">
        <v>5778737</v>
      </c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T280" s="450"/>
    </row>
    <row r="281" spans="1:20">
      <c r="A281" s="151" t="s">
        <v>30</v>
      </c>
      <c r="B281" s="51"/>
      <c r="C281" s="51"/>
      <c r="D281" s="52"/>
      <c r="E281" s="203"/>
      <c r="F281" s="152">
        <f>(F279-ROUND(J272/B272*100,0))-F280</f>
        <v>-13879.630260173231</v>
      </c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T281" s="450"/>
    </row>
    <row r="282" spans="1:20">
      <c r="A282" s="151"/>
      <c r="B282" s="51"/>
      <c r="C282" s="51"/>
      <c r="D282" s="52"/>
      <c r="E282" s="203"/>
      <c r="F282" s="152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T282" s="450"/>
    </row>
    <row r="283" spans="1:20"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</row>
    <row r="284" spans="1:20">
      <c r="A284" s="87" t="s">
        <v>77</v>
      </c>
      <c r="B284" s="84" t="s">
        <v>392</v>
      </c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</row>
    <row r="285" spans="1:20">
      <c r="A285" s="87"/>
      <c r="B285" s="84" t="s">
        <v>391</v>
      </c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</row>
    <row r="286" spans="1:20">
      <c r="B286" s="49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</row>
    <row r="287" spans="1:20">
      <c r="A287" s="87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</row>
    <row r="288" spans="1:20"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</row>
    <row r="289" spans="1:20">
      <c r="B289" s="48"/>
      <c r="C289" s="48"/>
      <c r="D289" s="163" t="s">
        <v>351</v>
      </c>
      <c r="E289" s="231"/>
      <c r="F289" s="298">
        <f>Q44</f>
        <v>6483567.54</v>
      </c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</row>
    <row r="290" spans="1:20">
      <c r="A290" s="47"/>
      <c r="B290" s="48"/>
      <c r="C290" s="48"/>
      <c r="D290" s="43"/>
      <c r="E290" s="173"/>
      <c r="F290" s="4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</row>
    <row r="291" spans="1:20">
      <c r="A291" s="47"/>
      <c r="B291" s="162" t="s">
        <v>339</v>
      </c>
      <c r="C291" s="49"/>
      <c r="D291" s="161" t="s">
        <v>338</v>
      </c>
      <c r="E291" s="232"/>
      <c r="F291" s="161" t="s">
        <v>340</v>
      </c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</row>
    <row r="292" spans="1:20">
      <c r="A292" s="47"/>
      <c r="B292" s="47"/>
      <c r="C292" s="49"/>
      <c r="D292" s="48"/>
      <c r="E292" s="172"/>
      <c r="F292" s="48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</row>
    <row r="293" spans="1:20">
      <c r="A293" s="67"/>
      <c r="B293" s="57" t="s">
        <v>341</v>
      </c>
      <c r="C293" s="49"/>
      <c r="D293" s="455">
        <v>0.66441385819107734</v>
      </c>
      <c r="E293" s="233"/>
      <c r="F293" s="296">
        <f>+F289*D293</f>
        <v>4307772.1240938324</v>
      </c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</row>
    <row r="294" spans="1:20">
      <c r="A294" s="67"/>
      <c r="B294" s="57" t="s">
        <v>342</v>
      </c>
      <c r="C294" s="49"/>
      <c r="D294" s="455">
        <v>0.15850506707570269</v>
      </c>
      <c r="E294" s="233"/>
      <c r="F294" s="296">
        <f>+F289*D294</f>
        <v>1027678.3078175487</v>
      </c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</row>
    <row r="295" spans="1:20">
      <c r="A295" s="47"/>
      <c r="B295" s="57" t="s">
        <v>343</v>
      </c>
      <c r="C295" s="49"/>
      <c r="D295" s="456">
        <v>7.7331940637802327E-2</v>
      </c>
      <c r="E295" s="234"/>
      <c r="F295" s="297">
        <f>+F289*D295</f>
        <v>501386.86012446205</v>
      </c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</row>
    <row r="296" spans="1:20" s="50" customFormat="1">
      <c r="A296" s="57"/>
      <c r="B296" s="57" t="s">
        <v>344</v>
      </c>
      <c r="D296" s="456">
        <v>1.3244947820012008E-3</v>
      </c>
      <c r="E296" s="234"/>
      <c r="F296" s="297">
        <f>+F289*D296</f>
        <v>8587.451375482362</v>
      </c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T296" s="451"/>
    </row>
    <row r="297" spans="1:20">
      <c r="B297" s="57" t="s">
        <v>345</v>
      </c>
      <c r="C297" s="49"/>
      <c r="D297" s="456">
        <v>8.1008094174628165E-3</v>
      </c>
      <c r="E297" s="234"/>
      <c r="F297" s="297">
        <f>+F289*D297</f>
        <v>52522.144986788226</v>
      </c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</row>
    <row r="298" spans="1:20">
      <c r="A298" s="50"/>
      <c r="B298" s="50" t="s">
        <v>346</v>
      </c>
      <c r="C298" s="49"/>
      <c r="D298" s="455">
        <v>2.2150447214111371E-2</v>
      </c>
      <c r="E298" s="233"/>
      <c r="F298" s="296">
        <f>+F289*D298</f>
        <v>143613.92055389591</v>
      </c>
      <c r="G298" s="59"/>
      <c r="H298" s="53"/>
      <c r="I298" s="53"/>
      <c r="J298" s="53"/>
      <c r="K298" s="53"/>
      <c r="L298" s="53"/>
      <c r="M298" s="53"/>
      <c r="N298" s="53"/>
      <c r="O298" s="53"/>
      <c r="P298" s="53"/>
      <c r="Q298" s="53"/>
    </row>
    <row r="299" spans="1:20">
      <c r="A299" s="50"/>
      <c r="B299" s="57" t="s">
        <v>347</v>
      </c>
      <c r="C299" s="49"/>
      <c r="D299" s="456">
        <v>1.3583846311838634E-3</v>
      </c>
      <c r="E299" s="234"/>
      <c r="F299" s="297">
        <f>+F289*D299</f>
        <v>8807.1785015785681</v>
      </c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</row>
    <row r="300" spans="1:20" hidden="1">
      <c r="B300" s="57"/>
      <c r="C300" s="49"/>
      <c r="D300" s="456">
        <v>0</v>
      </c>
      <c r="E300" s="234"/>
      <c r="F300" s="297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</row>
    <row r="301" spans="1:20">
      <c r="B301" s="50" t="s">
        <v>348</v>
      </c>
      <c r="C301" s="49"/>
      <c r="D301" s="455">
        <v>1.1813266878662567E-3</v>
      </c>
      <c r="E301" s="233"/>
      <c r="F301" s="296">
        <f>+F289*D301</f>
        <v>7659.2113675853734</v>
      </c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</row>
    <row r="302" spans="1:20">
      <c r="A302" s="47"/>
      <c r="B302" s="57" t="s">
        <v>349</v>
      </c>
      <c r="C302" s="49"/>
      <c r="D302" s="455">
        <v>6.3677105553078095E-2</v>
      </c>
      <c r="E302" s="233"/>
      <c r="F302" s="296">
        <f>+F289*D302</f>
        <v>412854.81460509088</v>
      </c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</row>
    <row r="303" spans="1:20">
      <c r="A303" s="47"/>
      <c r="B303" s="57" t="s">
        <v>350</v>
      </c>
      <c r="C303" s="49"/>
      <c r="D303" s="455">
        <v>1.956565809713819E-3</v>
      </c>
      <c r="E303" s="233"/>
      <c r="F303" s="296">
        <f>+F289*D303</f>
        <v>12685.526573734332</v>
      </c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</row>
    <row r="304" spans="1:20">
      <c r="A304" s="47"/>
      <c r="B304" s="47"/>
      <c r="C304" s="49"/>
      <c r="D304" s="514"/>
      <c r="E304" s="235"/>
      <c r="F304" s="51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</row>
    <row r="305" spans="1:20">
      <c r="A305" s="67"/>
      <c r="B305" s="57" t="s">
        <v>335</v>
      </c>
      <c r="C305" s="49"/>
      <c r="D305" s="272">
        <f>SUM(D293:D303)</f>
        <v>1</v>
      </c>
      <c r="E305" s="235"/>
      <c r="F305" s="273">
        <f>SUM(F293:F303)</f>
        <v>6483567.5399999991</v>
      </c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</row>
    <row r="306" spans="1:20">
      <c r="A306" s="67"/>
      <c r="B306" s="48"/>
      <c r="C306" s="48"/>
      <c r="D306" s="43"/>
      <c r="E306" s="173"/>
      <c r="F306" s="4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</row>
    <row r="307" spans="1:20">
      <c r="A307" s="47"/>
      <c r="B307" s="48"/>
      <c r="C307" s="48"/>
      <c r="D307" s="43"/>
      <c r="E307" s="173"/>
      <c r="F307" s="4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</row>
    <row r="308" spans="1:20" s="50" customFormat="1">
      <c r="A308" s="57"/>
      <c r="B308" s="51"/>
      <c r="C308" s="51"/>
      <c r="D308" s="52"/>
      <c r="E308" s="203"/>
      <c r="F308" s="52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T308" s="451"/>
    </row>
    <row r="309" spans="1:20">
      <c r="A309" s="50"/>
      <c r="B309" s="50"/>
      <c r="C309" s="50"/>
      <c r="D309" s="50"/>
      <c r="E309" s="211"/>
      <c r="F309" s="50"/>
      <c r="G309" s="59"/>
      <c r="H309" s="53"/>
      <c r="I309" s="53"/>
      <c r="J309" s="53"/>
      <c r="K309" s="53"/>
      <c r="L309" s="53"/>
      <c r="M309" s="53"/>
      <c r="N309" s="53"/>
      <c r="O309" s="53"/>
      <c r="P309" s="53"/>
      <c r="Q309" s="53"/>
    </row>
    <row r="310" spans="1:20"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</row>
    <row r="311" spans="1:20">
      <c r="A311" s="50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</row>
    <row r="312" spans="1:20"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</row>
    <row r="313" spans="1:20">
      <c r="B313" s="48"/>
      <c r="C313" s="48"/>
      <c r="D313" s="43"/>
      <c r="E313" s="173"/>
      <c r="F313" s="4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</row>
    <row r="314" spans="1:20">
      <c r="A314" s="47"/>
      <c r="B314" s="48"/>
      <c r="C314" s="48"/>
      <c r="D314" s="43"/>
      <c r="E314" s="173"/>
      <c r="F314" s="4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</row>
    <row r="315" spans="1:20">
      <c r="A315" s="47"/>
      <c r="B315" s="48"/>
      <c r="C315" s="48"/>
      <c r="D315" s="43"/>
      <c r="E315" s="173"/>
      <c r="F315" s="4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</row>
    <row r="316" spans="1:20">
      <c r="A316" s="47"/>
      <c r="B316" s="48"/>
      <c r="C316" s="48"/>
      <c r="D316" s="43"/>
      <c r="E316" s="173"/>
      <c r="F316" s="4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</row>
    <row r="317" spans="1:20">
      <c r="A317" s="67"/>
      <c r="B317" s="48"/>
      <c r="C317" s="48"/>
      <c r="D317" s="43"/>
      <c r="E317" s="173"/>
      <c r="F317" s="4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</row>
    <row r="318" spans="1:20">
      <c r="A318" s="67"/>
      <c r="B318" s="48"/>
      <c r="C318" s="48"/>
      <c r="D318" s="43"/>
      <c r="E318" s="173"/>
      <c r="F318" s="4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</row>
    <row r="319" spans="1:20">
      <c r="A319" s="47"/>
      <c r="B319" s="48"/>
      <c r="C319" s="48"/>
      <c r="D319" s="43"/>
      <c r="E319" s="173"/>
      <c r="F319" s="4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</row>
    <row r="320" spans="1:20" s="50" customFormat="1">
      <c r="A320" s="57"/>
      <c r="B320" s="51"/>
      <c r="C320" s="51"/>
      <c r="D320" s="52"/>
      <c r="E320" s="203"/>
      <c r="F320" s="52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T320" s="451"/>
    </row>
    <row r="321" spans="1:20"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</row>
    <row r="322" spans="1:20">
      <c r="A322" s="83"/>
      <c r="B322" s="84"/>
      <c r="C322" s="84"/>
      <c r="D322" s="84"/>
      <c r="E322" s="210"/>
      <c r="F322" s="84"/>
      <c r="G322" s="59"/>
      <c r="H322" s="53"/>
      <c r="I322" s="53"/>
      <c r="J322" s="53"/>
      <c r="K322" s="53"/>
      <c r="L322" s="53"/>
      <c r="M322" s="53"/>
      <c r="N322" s="53"/>
      <c r="O322" s="53"/>
      <c r="P322" s="53"/>
      <c r="Q322" s="53"/>
    </row>
    <row r="323" spans="1:20">
      <c r="A323" s="50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</row>
    <row r="324" spans="1:20">
      <c r="A324" s="50"/>
      <c r="B324" s="50"/>
      <c r="C324" s="50"/>
      <c r="D324" s="50"/>
      <c r="E324" s="211"/>
      <c r="F324" s="50"/>
      <c r="G324" s="59"/>
      <c r="H324" s="53"/>
      <c r="I324" s="53"/>
      <c r="J324" s="53"/>
      <c r="K324" s="53"/>
      <c r="L324" s="53"/>
      <c r="M324" s="53"/>
      <c r="N324" s="53"/>
      <c r="O324" s="53"/>
      <c r="P324" s="53"/>
      <c r="Q324" s="53"/>
    </row>
    <row r="325" spans="1:20">
      <c r="B325" s="48"/>
      <c r="C325" s="48"/>
      <c r="D325" s="43"/>
      <c r="E325" s="173"/>
      <c r="F325" s="4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</row>
    <row r="326" spans="1:20">
      <c r="A326" s="47"/>
      <c r="B326" s="48"/>
      <c r="C326" s="48"/>
      <c r="D326" s="43"/>
      <c r="E326" s="173"/>
      <c r="F326" s="4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</row>
    <row r="327" spans="1:20">
      <c r="A327" s="47"/>
      <c r="B327" s="48"/>
      <c r="C327" s="48"/>
      <c r="D327" s="43"/>
      <c r="E327" s="173"/>
      <c r="F327" s="4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</row>
    <row r="328" spans="1:20">
      <c r="A328" s="47"/>
      <c r="B328" s="48"/>
      <c r="C328" s="48"/>
      <c r="D328" s="43"/>
      <c r="E328" s="173"/>
      <c r="F328" s="4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</row>
    <row r="329" spans="1:20">
      <c r="A329" s="67"/>
      <c r="B329" s="48"/>
      <c r="C329" s="48"/>
      <c r="D329" s="43"/>
      <c r="E329" s="173"/>
      <c r="F329" s="4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</row>
    <row r="330" spans="1:20">
      <c r="A330" s="67"/>
      <c r="B330" s="48"/>
      <c r="C330" s="48"/>
      <c r="D330" s="43"/>
      <c r="E330" s="173"/>
      <c r="F330" s="4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</row>
    <row r="331" spans="1:20">
      <c r="A331" s="47"/>
      <c r="B331" s="48"/>
      <c r="C331" s="48"/>
      <c r="D331" s="43"/>
      <c r="E331" s="173"/>
      <c r="F331" s="4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</row>
    <row r="332" spans="1:20" s="50" customFormat="1">
      <c r="A332" s="57"/>
      <c r="B332" s="51"/>
      <c r="C332" s="51"/>
      <c r="D332" s="52"/>
      <c r="E332" s="203"/>
      <c r="F332" s="52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T332" s="451"/>
    </row>
    <row r="333" spans="1:20"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</row>
    <row r="334" spans="1:20"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</row>
    <row r="335" spans="1:20">
      <c r="A335" s="50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</row>
    <row r="336" spans="1:20">
      <c r="A336" s="83"/>
      <c r="B336" s="84"/>
      <c r="C336" s="84"/>
      <c r="D336" s="84"/>
      <c r="E336" s="210"/>
      <c r="F336" s="84"/>
      <c r="G336" s="59"/>
      <c r="H336" s="53"/>
      <c r="I336" s="53"/>
      <c r="J336" s="53"/>
      <c r="K336" s="53"/>
      <c r="L336" s="53"/>
      <c r="M336" s="53"/>
      <c r="N336" s="53"/>
      <c r="O336" s="53"/>
      <c r="P336" s="53"/>
      <c r="Q336" s="53"/>
    </row>
    <row r="337" spans="1:20">
      <c r="B337" s="48"/>
      <c r="C337" s="48"/>
      <c r="D337" s="43"/>
      <c r="E337" s="173"/>
      <c r="F337" s="4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</row>
    <row r="338" spans="1:20">
      <c r="A338" s="47"/>
      <c r="B338" s="48"/>
      <c r="C338" s="48"/>
      <c r="D338" s="43"/>
      <c r="E338" s="173"/>
      <c r="F338" s="4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</row>
    <row r="339" spans="1:20">
      <c r="A339" s="47"/>
      <c r="B339" s="48"/>
      <c r="C339" s="48"/>
      <c r="D339" s="43"/>
      <c r="E339" s="173"/>
      <c r="F339" s="4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</row>
    <row r="340" spans="1:20">
      <c r="A340" s="47"/>
      <c r="B340" s="48"/>
      <c r="C340" s="48"/>
      <c r="D340" s="43"/>
      <c r="E340" s="173"/>
      <c r="F340" s="4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</row>
    <row r="341" spans="1:20">
      <c r="A341" s="67"/>
      <c r="B341" s="48"/>
      <c r="C341" s="48"/>
      <c r="D341" s="43"/>
      <c r="E341" s="173"/>
      <c r="F341" s="4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</row>
    <row r="342" spans="1:20">
      <c r="A342" s="67"/>
      <c r="B342" s="48"/>
      <c r="C342" s="48"/>
      <c r="D342" s="43"/>
      <c r="E342" s="173"/>
      <c r="F342" s="4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</row>
    <row r="343" spans="1:20">
      <c r="A343" s="47"/>
      <c r="B343" s="48"/>
      <c r="C343" s="48"/>
      <c r="D343" s="43"/>
      <c r="E343" s="173"/>
      <c r="F343" s="4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</row>
    <row r="344" spans="1:20" s="50" customFormat="1">
      <c r="A344" s="57"/>
      <c r="B344" s="51"/>
      <c r="C344" s="51"/>
      <c r="D344" s="52"/>
      <c r="E344" s="203"/>
      <c r="F344" s="52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T344" s="451"/>
    </row>
    <row r="345" spans="1:20"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</row>
    <row r="346" spans="1:20"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</row>
    <row r="347" spans="1:20">
      <c r="A347" s="50"/>
      <c r="B347" s="50"/>
      <c r="C347" s="50"/>
      <c r="D347" s="50"/>
      <c r="E347" s="211"/>
      <c r="F347" s="50"/>
      <c r="G347" s="59"/>
      <c r="H347" s="53"/>
      <c r="I347" s="53"/>
      <c r="J347" s="53"/>
      <c r="K347" s="53"/>
      <c r="L347" s="53"/>
      <c r="M347" s="53"/>
      <c r="N347" s="53"/>
      <c r="O347" s="53"/>
      <c r="P347" s="53"/>
      <c r="Q347" s="53"/>
    </row>
    <row r="348" spans="1:20">
      <c r="A348" s="50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</row>
    <row r="349" spans="1:20">
      <c r="B349" s="48"/>
      <c r="C349" s="48"/>
      <c r="D349" s="43"/>
      <c r="E349" s="173"/>
      <c r="F349" s="4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</row>
    <row r="350" spans="1:20">
      <c r="A350" s="47"/>
      <c r="B350" s="48"/>
      <c r="C350" s="48"/>
      <c r="D350" s="43"/>
      <c r="E350" s="173"/>
      <c r="F350" s="4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</row>
    <row r="351" spans="1:20">
      <c r="A351" s="47"/>
      <c r="B351" s="48"/>
      <c r="C351" s="48"/>
      <c r="D351" s="43"/>
      <c r="E351" s="173"/>
      <c r="F351" s="4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</row>
    <row r="352" spans="1:20">
      <c r="A352" s="47"/>
      <c r="B352" s="48"/>
      <c r="C352" s="48"/>
      <c r="D352" s="43"/>
      <c r="E352" s="173"/>
      <c r="F352" s="4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</row>
    <row r="353" spans="1:20">
      <c r="A353" s="67"/>
      <c r="B353" s="48"/>
      <c r="C353" s="48"/>
      <c r="D353" s="43"/>
      <c r="E353" s="173"/>
      <c r="F353" s="4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</row>
    <row r="354" spans="1:20">
      <c r="A354" s="67"/>
      <c r="B354" s="48"/>
      <c r="C354" s="48"/>
      <c r="D354" s="43"/>
      <c r="E354" s="173"/>
      <c r="F354" s="4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</row>
    <row r="355" spans="1:20">
      <c r="A355" s="47"/>
      <c r="B355" s="48"/>
      <c r="C355" s="48"/>
      <c r="D355" s="43"/>
      <c r="E355" s="173"/>
      <c r="F355" s="4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</row>
    <row r="356" spans="1:20" s="50" customFormat="1">
      <c r="A356" s="57"/>
      <c r="B356" s="51"/>
      <c r="C356" s="51"/>
      <c r="D356" s="52"/>
      <c r="E356" s="203"/>
      <c r="F356" s="52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T356" s="451"/>
    </row>
    <row r="357" spans="1:20">
      <c r="A357" s="50"/>
      <c r="B357" s="50"/>
      <c r="C357" s="50"/>
      <c r="D357" s="50"/>
      <c r="E357" s="211"/>
      <c r="F357" s="50"/>
      <c r="G357" s="59"/>
      <c r="H357" s="53"/>
      <c r="I357" s="53"/>
      <c r="J357" s="53"/>
      <c r="K357" s="53"/>
      <c r="L357" s="53"/>
      <c r="M357" s="53"/>
      <c r="N357" s="53"/>
      <c r="O357" s="53"/>
      <c r="P357" s="53"/>
      <c r="Q357" s="53"/>
    </row>
    <row r="358" spans="1:20"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</row>
    <row r="359" spans="1:20">
      <c r="A359" s="50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</row>
    <row r="360" spans="1:20"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</row>
    <row r="361" spans="1:20">
      <c r="B361" s="48"/>
      <c r="C361" s="48"/>
      <c r="D361" s="43"/>
      <c r="E361" s="173"/>
      <c r="F361" s="4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</row>
    <row r="362" spans="1:20">
      <c r="A362" s="47"/>
      <c r="B362" s="48"/>
      <c r="C362" s="48"/>
      <c r="D362" s="43"/>
      <c r="E362" s="173"/>
      <c r="F362" s="4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</row>
    <row r="363" spans="1:20">
      <c r="A363" s="47"/>
      <c r="B363" s="48"/>
      <c r="C363" s="48"/>
      <c r="D363" s="43"/>
      <c r="E363" s="173"/>
      <c r="F363" s="4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</row>
    <row r="364" spans="1:20">
      <c r="A364" s="47"/>
      <c r="B364" s="48"/>
      <c r="C364" s="48"/>
      <c r="D364" s="43"/>
      <c r="E364" s="173"/>
      <c r="F364" s="4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</row>
    <row r="365" spans="1:20">
      <c r="A365" s="67"/>
      <c r="B365" s="48"/>
      <c r="C365" s="48"/>
      <c r="D365" s="43"/>
      <c r="E365" s="173"/>
      <c r="F365" s="4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</row>
    <row r="366" spans="1:20">
      <c r="A366" s="67"/>
      <c r="B366" s="48"/>
      <c r="C366" s="48"/>
      <c r="D366" s="43"/>
      <c r="E366" s="173"/>
      <c r="F366" s="4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</row>
    <row r="367" spans="1:20">
      <c r="A367" s="47"/>
      <c r="B367" s="48"/>
      <c r="C367" s="48"/>
      <c r="D367" s="43"/>
      <c r="E367" s="173"/>
      <c r="F367" s="4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</row>
    <row r="368" spans="1:20" s="50" customFormat="1">
      <c r="A368" s="57"/>
      <c r="B368" s="51"/>
      <c r="C368" s="51"/>
      <c r="D368" s="52"/>
      <c r="E368" s="203"/>
      <c r="F368" s="52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T368" s="451"/>
    </row>
    <row r="369" spans="1:20">
      <c r="A369" s="83"/>
      <c r="B369" s="84"/>
      <c r="C369" s="84"/>
      <c r="D369" s="84"/>
      <c r="E369" s="210"/>
      <c r="F369" s="84"/>
      <c r="G369" s="59"/>
      <c r="H369" s="53"/>
      <c r="I369" s="53"/>
      <c r="J369" s="53"/>
      <c r="K369" s="53"/>
      <c r="L369" s="53"/>
      <c r="M369" s="53"/>
      <c r="N369" s="53"/>
      <c r="O369" s="53"/>
      <c r="P369" s="53"/>
      <c r="Q369" s="53"/>
    </row>
    <row r="370" spans="1:20"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</row>
    <row r="371" spans="1:20">
      <c r="A371" s="50"/>
      <c r="B371" s="50"/>
      <c r="C371" s="50"/>
      <c r="D371" s="50"/>
      <c r="E371" s="211"/>
      <c r="F371" s="50"/>
      <c r="G371" s="59"/>
      <c r="H371" s="53"/>
      <c r="I371" s="53"/>
      <c r="J371" s="53"/>
      <c r="K371" s="53"/>
      <c r="L371" s="53"/>
      <c r="M371" s="53"/>
      <c r="N371" s="53"/>
      <c r="O371" s="53"/>
      <c r="P371" s="53"/>
      <c r="Q371" s="53"/>
    </row>
    <row r="372" spans="1:20"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</row>
    <row r="373" spans="1:20">
      <c r="B373" s="48"/>
      <c r="C373" s="48"/>
      <c r="D373" s="43"/>
      <c r="E373" s="173"/>
      <c r="F373" s="4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</row>
    <row r="374" spans="1:20">
      <c r="A374" s="47"/>
      <c r="B374" s="48"/>
      <c r="C374" s="48"/>
      <c r="D374" s="43"/>
      <c r="E374" s="173"/>
      <c r="F374" s="4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</row>
    <row r="375" spans="1:20">
      <c r="A375" s="47"/>
      <c r="B375" s="48"/>
      <c r="C375" s="48"/>
      <c r="D375" s="43"/>
      <c r="E375" s="173"/>
      <c r="F375" s="4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</row>
    <row r="376" spans="1:20">
      <c r="A376" s="47"/>
      <c r="B376" s="48"/>
      <c r="C376" s="48"/>
      <c r="D376" s="43"/>
      <c r="E376" s="173"/>
      <c r="F376" s="4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</row>
    <row r="377" spans="1:20">
      <c r="A377" s="67"/>
      <c r="B377" s="48"/>
      <c r="C377" s="48"/>
      <c r="D377" s="43"/>
      <c r="E377" s="173"/>
      <c r="F377" s="4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</row>
    <row r="378" spans="1:20">
      <c r="A378" s="67"/>
      <c r="B378" s="48"/>
      <c r="C378" s="48"/>
      <c r="D378" s="43"/>
      <c r="E378" s="173"/>
      <c r="F378" s="4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</row>
    <row r="379" spans="1:20">
      <c r="A379" s="47"/>
      <c r="B379" s="48"/>
      <c r="C379" s="48"/>
      <c r="D379" s="43"/>
      <c r="E379" s="173"/>
      <c r="F379" s="4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</row>
    <row r="380" spans="1:20" s="50" customFormat="1">
      <c r="B380" s="51"/>
      <c r="C380" s="51"/>
      <c r="D380" s="52"/>
      <c r="E380" s="203"/>
      <c r="F380" s="52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T380" s="451"/>
    </row>
    <row r="381" spans="1:20"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</row>
    <row r="382" spans="1:20"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</row>
    <row r="383" spans="1:20">
      <c r="A383" s="50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</row>
    <row r="384" spans="1:20">
      <c r="A384" s="83"/>
      <c r="B384" s="85"/>
      <c r="C384" s="85"/>
      <c r="D384" s="85"/>
      <c r="E384" s="212"/>
      <c r="F384" s="85"/>
      <c r="G384" s="86"/>
      <c r="H384" s="53"/>
      <c r="I384" s="53"/>
      <c r="J384" s="53"/>
      <c r="K384" s="53"/>
      <c r="L384" s="53"/>
      <c r="M384" s="53"/>
      <c r="N384" s="53"/>
      <c r="O384" s="53"/>
      <c r="P384" s="53"/>
      <c r="Q384" s="53"/>
    </row>
    <row r="385" spans="1:20">
      <c r="B385" s="48"/>
      <c r="C385" s="48"/>
      <c r="D385" s="43"/>
      <c r="E385" s="173"/>
      <c r="F385" s="4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</row>
    <row r="386" spans="1:20">
      <c r="A386" s="47"/>
      <c r="B386" s="48"/>
      <c r="C386" s="48"/>
      <c r="D386" s="43"/>
      <c r="E386" s="173"/>
      <c r="F386" s="4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</row>
    <row r="387" spans="1:20">
      <c r="A387" s="47"/>
      <c r="B387" s="48"/>
      <c r="C387" s="48"/>
      <c r="D387" s="43"/>
      <c r="E387" s="173"/>
      <c r="F387" s="4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</row>
    <row r="388" spans="1:20">
      <c r="A388" s="47"/>
      <c r="B388" s="48"/>
      <c r="C388" s="48"/>
      <c r="D388" s="43"/>
      <c r="E388" s="173"/>
      <c r="F388" s="4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</row>
    <row r="389" spans="1:20">
      <c r="A389" s="67"/>
      <c r="B389" s="48"/>
      <c r="C389" s="48"/>
      <c r="D389" s="43"/>
      <c r="E389" s="173"/>
      <c r="F389" s="4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</row>
    <row r="390" spans="1:20">
      <c r="A390" s="67"/>
      <c r="B390" s="48"/>
      <c r="C390" s="48"/>
      <c r="D390" s="43"/>
      <c r="E390" s="173"/>
      <c r="F390" s="4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</row>
    <row r="391" spans="1:20">
      <c r="A391" s="47"/>
      <c r="B391" s="48"/>
      <c r="C391" s="48"/>
      <c r="D391" s="43"/>
      <c r="E391" s="173"/>
      <c r="F391" s="4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</row>
    <row r="392" spans="1:20" s="50" customFormat="1">
      <c r="B392" s="51"/>
      <c r="C392" s="51"/>
      <c r="D392" s="52"/>
      <c r="E392" s="203"/>
      <c r="F392" s="52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T392" s="451"/>
    </row>
    <row r="393" spans="1:20"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</row>
    <row r="394" spans="1:20"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</row>
    <row r="395" spans="1:20">
      <c r="A395" s="50"/>
      <c r="B395" s="84"/>
      <c r="C395" s="84"/>
      <c r="D395" s="84"/>
      <c r="E395" s="210"/>
      <c r="F395" s="84"/>
      <c r="G395" s="59"/>
      <c r="H395" s="53"/>
      <c r="I395" s="53"/>
      <c r="J395" s="53"/>
      <c r="K395" s="53"/>
      <c r="L395" s="53"/>
      <c r="M395" s="53"/>
      <c r="N395" s="53"/>
      <c r="O395" s="53"/>
      <c r="P395" s="53"/>
      <c r="Q395" s="53"/>
    </row>
    <row r="396" spans="1:20"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</row>
    <row r="397" spans="1:20">
      <c r="B397" s="48"/>
      <c r="C397" s="48"/>
      <c r="D397" s="43"/>
      <c r="E397" s="173"/>
      <c r="F397" s="4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</row>
    <row r="398" spans="1:20">
      <c r="A398" s="47"/>
      <c r="B398" s="48"/>
      <c r="C398" s="48"/>
      <c r="D398" s="43"/>
      <c r="E398" s="173"/>
      <c r="F398" s="4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</row>
    <row r="399" spans="1:20">
      <c r="A399" s="47"/>
      <c r="B399" s="48"/>
      <c r="C399" s="48"/>
      <c r="D399" s="43"/>
      <c r="E399" s="173"/>
      <c r="F399" s="4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</row>
    <row r="400" spans="1:20">
      <c r="A400" s="47"/>
      <c r="B400" s="48"/>
      <c r="C400" s="48"/>
      <c r="D400" s="43"/>
      <c r="E400" s="173"/>
      <c r="F400" s="4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</row>
    <row r="401" spans="1:20">
      <c r="A401" s="67"/>
      <c r="B401" s="48"/>
      <c r="C401" s="48"/>
      <c r="D401" s="43"/>
      <c r="E401" s="173"/>
      <c r="F401" s="4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</row>
    <row r="402" spans="1:20">
      <c r="A402" s="67"/>
      <c r="B402" s="48"/>
      <c r="C402" s="48"/>
      <c r="D402" s="43"/>
      <c r="E402" s="173"/>
      <c r="F402" s="4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</row>
    <row r="403" spans="1:20">
      <c r="A403" s="47"/>
      <c r="B403" s="48"/>
      <c r="C403" s="48"/>
      <c r="D403" s="43"/>
      <c r="E403" s="173"/>
      <c r="F403" s="4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</row>
    <row r="404" spans="1:20" s="50" customFormat="1">
      <c r="B404" s="51"/>
      <c r="C404" s="51"/>
      <c r="D404" s="52"/>
      <c r="E404" s="203"/>
      <c r="F404" s="52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T404" s="451"/>
    </row>
    <row r="405" spans="1:20"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</row>
    <row r="406" spans="1:20"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</row>
    <row r="407" spans="1:20">
      <c r="A407" s="50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</row>
    <row r="408" spans="1:20"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</row>
    <row r="409" spans="1:20">
      <c r="B409" s="48"/>
      <c r="C409" s="48"/>
      <c r="D409" s="43"/>
      <c r="E409" s="173"/>
      <c r="F409" s="4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</row>
    <row r="410" spans="1:20">
      <c r="A410" s="47"/>
      <c r="B410" s="48"/>
      <c r="C410" s="48"/>
      <c r="D410" s="43"/>
      <c r="E410" s="173"/>
      <c r="F410" s="4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</row>
    <row r="411" spans="1:20">
      <c r="A411" s="47"/>
      <c r="B411" s="48"/>
      <c r="C411" s="48"/>
      <c r="D411" s="43"/>
      <c r="E411" s="173"/>
      <c r="F411" s="4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</row>
    <row r="412" spans="1:20">
      <c r="A412" s="47"/>
      <c r="B412" s="48"/>
      <c r="C412" s="48"/>
      <c r="D412" s="43"/>
      <c r="E412" s="173"/>
      <c r="F412" s="4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</row>
    <row r="413" spans="1:20">
      <c r="A413" s="67"/>
      <c r="B413" s="48"/>
      <c r="C413" s="48"/>
      <c r="D413" s="43"/>
      <c r="E413" s="173"/>
      <c r="F413" s="4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</row>
    <row r="414" spans="1:20">
      <c r="A414" s="67"/>
      <c r="B414" s="48"/>
      <c r="C414" s="48"/>
      <c r="D414" s="43"/>
      <c r="E414" s="173"/>
      <c r="F414" s="4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</row>
    <row r="415" spans="1:20">
      <c r="A415" s="47"/>
      <c r="B415" s="48"/>
      <c r="C415" s="48"/>
      <c r="D415" s="43"/>
      <c r="E415" s="173"/>
      <c r="F415" s="4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</row>
    <row r="416" spans="1:20" s="50" customFormat="1">
      <c r="B416" s="51"/>
      <c r="C416" s="51"/>
      <c r="D416" s="52"/>
      <c r="E416" s="203"/>
      <c r="F416" s="52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T416" s="451"/>
    </row>
    <row r="417" spans="1:20"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</row>
    <row r="418" spans="1:20">
      <c r="A418" s="50"/>
      <c r="B418" s="50"/>
      <c r="C418" s="50"/>
      <c r="D418" s="50"/>
      <c r="E418" s="211"/>
      <c r="F418" s="50"/>
      <c r="G418" s="59"/>
      <c r="H418" s="53"/>
      <c r="I418" s="53"/>
      <c r="J418" s="53"/>
      <c r="K418" s="53"/>
      <c r="L418" s="53"/>
      <c r="M418" s="53"/>
      <c r="N418" s="53"/>
      <c r="O418" s="53"/>
      <c r="P418" s="53"/>
      <c r="Q418" s="53"/>
    </row>
    <row r="419" spans="1:20">
      <c r="A419" s="50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</row>
    <row r="420" spans="1:20"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</row>
    <row r="421" spans="1:20">
      <c r="B421" s="48"/>
      <c r="C421" s="48"/>
      <c r="D421" s="43"/>
      <c r="E421" s="173"/>
      <c r="F421" s="4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</row>
    <row r="422" spans="1:20">
      <c r="A422" s="47"/>
      <c r="B422" s="48"/>
      <c r="C422" s="48"/>
      <c r="D422" s="43"/>
      <c r="E422" s="173"/>
      <c r="F422" s="4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</row>
    <row r="423" spans="1:20">
      <c r="A423" s="47"/>
      <c r="B423" s="48"/>
      <c r="C423" s="48"/>
      <c r="D423" s="43"/>
      <c r="E423" s="173"/>
      <c r="F423" s="4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</row>
    <row r="424" spans="1:20">
      <c r="A424" s="47"/>
      <c r="B424" s="48"/>
      <c r="C424" s="48"/>
      <c r="D424" s="43"/>
      <c r="E424" s="173"/>
      <c r="F424" s="4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</row>
    <row r="425" spans="1:20">
      <c r="A425" s="67"/>
      <c r="B425" s="48"/>
      <c r="C425" s="48"/>
      <c r="D425" s="43"/>
      <c r="E425" s="173"/>
      <c r="F425" s="4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</row>
    <row r="426" spans="1:20">
      <c r="A426" s="67"/>
      <c r="B426" s="48"/>
      <c r="C426" s="48"/>
      <c r="D426" s="43"/>
      <c r="E426" s="173"/>
      <c r="F426" s="4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</row>
    <row r="427" spans="1:20">
      <c r="A427" s="47"/>
      <c r="B427" s="48"/>
      <c r="C427" s="48"/>
      <c r="D427" s="43"/>
      <c r="E427" s="173"/>
      <c r="F427" s="4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</row>
    <row r="428" spans="1:20" s="50" customFormat="1">
      <c r="B428" s="51"/>
      <c r="C428" s="51"/>
      <c r="D428" s="52"/>
      <c r="E428" s="203"/>
      <c r="F428" s="52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T428" s="451"/>
    </row>
    <row r="429" spans="1:20">
      <c r="A429" s="50"/>
      <c r="B429" s="50"/>
      <c r="C429" s="50"/>
      <c r="D429" s="50"/>
      <c r="E429" s="211"/>
      <c r="F429" s="50"/>
      <c r="G429" s="59"/>
      <c r="H429" s="53"/>
      <c r="I429" s="53"/>
      <c r="J429" s="53"/>
      <c r="K429" s="53"/>
      <c r="L429" s="53"/>
      <c r="M429" s="53"/>
      <c r="N429" s="53"/>
      <c r="O429" s="53"/>
      <c r="P429" s="53"/>
      <c r="Q429" s="53"/>
    </row>
    <row r="430" spans="1:20"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</row>
    <row r="431" spans="1:20">
      <c r="A431" s="50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</row>
    <row r="432" spans="1:20"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</row>
    <row r="433" spans="1:20">
      <c r="B433" s="48"/>
      <c r="C433" s="48"/>
      <c r="D433" s="43"/>
      <c r="E433" s="173"/>
      <c r="F433" s="4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</row>
    <row r="434" spans="1:20">
      <c r="A434" s="47"/>
      <c r="B434" s="48"/>
      <c r="C434" s="48"/>
      <c r="D434" s="43"/>
      <c r="E434" s="173"/>
      <c r="F434" s="4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</row>
    <row r="435" spans="1:20">
      <c r="A435" s="47"/>
      <c r="B435" s="48"/>
      <c r="C435" s="48"/>
      <c r="D435" s="43"/>
      <c r="E435" s="173"/>
      <c r="F435" s="4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</row>
    <row r="436" spans="1:20">
      <c r="A436" s="47"/>
      <c r="B436" s="48"/>
      <c r="C436" s="48"/>
      <c r="D436" s="43"/>
      <c r="E436" s="173"/>
      <c r="F436" s="4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</row>
    <row r="437" spans="1:20">
      <c r="A437" s="67"/>
      <c r="B437" s="48"/>
      <c r="C437" s="48"/>
      <c r="D437" s="43"/>
      <c r="E437" s="173"/>
      <c r="F437" s="4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</row>
    <row r="438" spans="1:20">
      <c r="A438" s="67"/>
      <c r="B438" s="48"/>
      <c r="C438" s="48"/>
      <c r="D438" s="43"/>
      <c r="E438" s="173"/>
      <c r="F438" s="4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</row>
    <row r="439" spans="1:20">
      <c r="A439" s="47"/>
      <c r="B439" s="48"/>
      <c r="C439" s="48"/>
      <c r="D439" s="43"/>
      <c r="E439" s="173"/>
      <c r="F439" s="4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</row>
    <row r="440" spans="1:20" s="50" customFormat="1">
      <c r="B440" s="51"/>
      <c r="C440" s="51"/>
      <c r="D440" s="52"/>
      <c r="E440" s="203"/>
      <c r="F440" s="52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T440" s="451"/>
    </row>
    <row r="441" spans="1:20"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</row>
    <row r="442" spans="1:20">
      <c r="A442" s="83"/>
      <c r="B442" s="84"/>
      <c r="C442" s="84"/>
      <c r="D442" s="84"/>
      <c r="E442" s="210"/>
      <c r="F442" s="84"/>
      <c r="G442" s="59"/>
      <c r="H442" s="53"/>
      <c r="I442" s="53"/>
      <c r="J442" s="53"/>
      <c r="K442" s="53"/>
      <c r="L442" s="53"/>
      <c r="M442" s="53"/>
      <c r="N442" s="53"/>
      <c r="O442" s="53"/>
      <c r="P442" s="53"/>
      <c r="Q442" s="53"/>
    </row>
    <row r="443" spans="1:20">
      <c r="A443" s="50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</row>
    <row r="444" spans="1:20">
      <c r="A444" s="50"/>
      <c r="B444" s="50"/>
      <c r="C444" s="50"/>
      <c r="D444" s="50"/>
      <c r="E444" s="211"/>
      <c r="F444" s="50"/>
      <c r="G444" s="59"/>
      <c r="H444" s="53"/>
      <c r="I444" s="53"/>
      <c r="J444" s="53"/>
      <c r="K444" s="53"/>
      <c r="L444" s="53"/>
      <c r="M444" s="53"/>
      <c r="N444" s="53"/>
      <c r="O444" s="53"/>
      <c r="P444" s="53"/>
      <c r="Q444" s="53"/>
    </row>
    <row r="445" spans="1:20">
      <c r="B445" s="48"/>
      <c r="C445" s="48"/>
      <c r="D445" s="43"/>
      <c r="E445" s="173"/>
      <c r="F445" s="4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</row>
    <row r="446" spans="1:20">
      <c r="A446" s="47"/>
      <c r="B446" s="48"/>
      <c r="C446" s="48"/>
      <c r="D446" s="43"/>
      <c r="E446" s="173"/>
      <c r="F446" s="4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</row>
    <row r="447" spans="1:20">
      <c r="A447" s="47"/>
      <c r="B447" s="48"/>
      <c r="C447" s="48"/>
      <c r="D447" s="43"/>
      <c r="E447" s="173"/>
      <c r="F447" s="4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</row>
    <row r="448" spans="1:20">
      <c r="A448" s="47"/>
      <c r="B448" s="48"/>
      <c r="C448" s="48"/>
      <c r="D448" s="43"/>
      <c r="E448" s="173"/>
      <c r="F448" s="4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</row>
    <row r="449" spans="1:20">
      <c r="A449" s="67"/>
      <c r="B449" s="48"/>
      <c r="C449" s="48"/>
      <c r="D449" s="43"/>
      <c r="E449" s="173"/>
      <c r="F449" s="4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</row>
    <row r="450" spans="1:20">
      <c r="A450" s="67"/>
      <c r="B450" s="48"/>
      <c r="C450" s="48"/>
      <c r="D450" s="43"/>
      <c r="E450" s="173"/>
      <c r="F450" s="4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</row>
    <row r="451" spans="1:20">
      <c r="A451" s="47"/>
      <c r="B451" s="48"/>
      <c r="C451" s="48"/>
      <c r="D451" s="43"/>
      <c r="E451" s="173"/>
      <c r="F451" s="4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</row>
    <row r="452" spans="1:20" s="50" customFormat="1">
      <c r="B452" s="51"/>
      <c r="C452" s="51"/>
      <c r="D452" s="52"/>
      <c r="E452" s="203"/>
      <c r="F452" s="52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T452" s="451"/>
    </row>
    <row r="453" spans="1:20"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</row>
    <row r="454" spans="1:20"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</row>
    <row r="455" spans="1:20">
      <c r="A455" s="50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</row>
    <row r="456" spans="1:20">
      <c r="A456" s="83"/>
      <c r="B456" s="84"/>
      <c r="C456" s="84"/>
      <c r="D456" s="84"/>
      <c r="E456" s="210"/>
      <c r="F456" s="84"/>
      <c r="G456" s="59"/>
      <c r="H456" s="53"/>
      <c r="I456" s="53"/>
      <c r="J456" s="53"/>
      <c r="K456" s="53"/>
      <c r="L456" s="53"/>
      <c r="M456" s="53"/>
      <c r="N456" s="53"/>
      <c r="O456" s="53"/>
      <c r="P456" s="53"/>
      <c r="Q456" s="53"/>
    </row>
    <row r="457" spans="1:20">
      <c r="B457" s="48"/>
      <c r="C457" s="48"/>
      <c r="D457" s="43"/>
      <c r="E457" s="173"/>
      <c r="F457" s="4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</row>
    <row r="458" spans="1:20">
      <c r="A458" s="47"/>
      <c r="B458" s="48"/>
      <c r="C458" s="48"/>
      <c r="D458" s="43"/>
      <c r="E458" s="173"/>
      <c r="F458" s="4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</row>
    <row r="459" spans="1:20">
      <c r="A459" s="47"/>
      <c r="B459" s="48"/>
      <c r="C459" s="48"/>
      <c r="D459" s="43"/>
      <c r="E459" s="173"/>
      <c r="F459" s="4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</row>
    <row r="460" spans="1:20">
      <c r="A460" s="47"/>
      <c r="B460" s="48"/>
      <c r="C460" s="48"/>
      <c r="D460" s="43"/>
      <c r="E460" s="173"/>
      <c r="F460" s="4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</row>
    <row r="461" spans="1:20">
      <c r="A461" s="67"/>
      <c r="B461" s="48"/>
      <c r="C461" s="48"/>
      <c r="D461" s="43"/>
      <c r="E461" s="173"/>
      <c r="F461" s="4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</row>
    <row r="462" spans="1:20">
      <c r="A462" s="67"/>
      <c r="B462" s="48"/>
      <c r="C462" s="48"/>
      <c r="D462" s="43"/>
      <c r="E462" s="173"/>
      <c r="F462" s="4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</row>
    <row r="463" spans="1:20">
      <c r="A463" s="47"/>
      <c r="B463" s="48"/>
      <c r="C463" s="48"/>
      <c r="D463" s="43"/>
      <c r="E463" s="173"/>
      <c r="F463" s="4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</row>
    <row r="464" spans="1:20" s="50" customFormat="1">
      <c r="B464" s="51"/>
      <c r="C464" s="51"/>
      <c r="D464" s="52"/>
      <c r="E464" s="203"/>
      <c r="F464" s="52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T464" s="451"/>
    </row>
    <row r="465" spans="1:20"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</row>
    <row r="466" spans="1:20"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</row>
    <row r="467" spans="1:20">
      <c r="A467" s="50"/>
      <c r="B467" s="50"/>
      <c r="C467" s="50"/>
      <c r="D467" s="50"/>
      <c r="E467" s="211"/>
      <c r="F467" s="50"/>
      <c r="G467" s="59"/>
      <c r="H467" s="53"/>
      <c r="I467" s="53"/>
      <c r="J467" s="53"/>
      <c r="K467" s="53"/>
      <c r="L467" s="53"/>
      <c r="M467" s="53"/>
      <c r="N467" s="53"/>
      <c r="O467" s="53"/>
      <c r="P467" s="53"/>
      <c r="Q467" s="53"/>
    </row>
    <row r="468" spans="1:20">
      <c r="A468" s="50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</row>
    <row r="469" spans="1:20">
      <c r="B469" s="48"/>
      <c r="C469" s="48"/>
      <c r="D469" s="43"/>
      <c r="E469" s="173"/>
      <c r="F469" s="4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</row>
    <row r="470" spans="1:20">
      <c r="A470" s="47"/>
      <c r="B470" s="48"/>
      <c r="C470" s="48"/>
      <c r="D470" s="43"/>
      <c r="E470" s="173"/>
      <c r="F470" s="4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</row>
    <row r="471" spans="1:20">
      <c r="A471" s="47"/>
      <c r="B471" s="48"/>
      <c r="C471" s="48"/>
      <c r="D471" s="43"/>
      <c r="E471" s="173"/>
      <c r="F471" s="4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</row>
    <row r="472" spans="1:20">
      <c r="A472" s="47"/>
      <c r="B472" s="48"/>
      <c r="C472" s="48"/>
      <c r="D472" s="43"/>
      <c r="E472" s="173"/>
      <c r="F472" s="4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</row>
    <row r="473" spans="1:20">
      <c r="A473" s="67"/>
      <c r="B473" s="48"/>
      <c r="C473" s="48"/>
      <c r="D473" s="43"/>
      <c r="E473" s="173"/>
      <c r="F473" s="4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</row>
    <row r="474" spans="1:20">
      <c r="A474" s="67"/>
      <c r="B474" s="48"/>
      <c r="C474" s="48"/>
      <c r="D474" s="43"/>
      <c r="E474" s="173"/>
      <c r="F474" s="4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</row>
    <row r="475" spans="1:20">
      <c r="A475" s="47"/>
      <c r="B475" s="48"/>
      <c r="C475" s="48"/>
      <c r="D475" s="43"/>
      <c r="E475" s="173"/>
      <c r="F475" s="4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</row>
    <row r="476" spans="1:20" s="50" customFormat="1">
      <c r="B476" s="51"/>
      <c r="C476" s="51"/>
      <c r="D476" s="52"/>
      <c r="E476" s="203"/>
      <c r="F476" s="52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T476" s="451"/>
    </row>
    <row r="477" spans="1:20">
      <c r="A477" s="50"/>
      <c r="B477" s="50"/>
      <c r="C477" s="50"/>
      <c r="D477" s="50"/>
      <c r="E477" s="211"/>
      <c r="F477" s="50"/>
      <c r="G477" s="59"/>
      <c r="H477" s="53"/>
      <c r="I477" s="53"/>
      <c r="J477" s="53"/>
      <c r="K477" s="53"/>
      <c r="L477" s="53"/>
      <c r="M477" s="53"/>
      <c r="N477" s="53"/>
      <c r="O477" s="53"/>
      <c r="P477" s="53"/>
      <c r="Q477" s="53"/>
    </row>
    <row r="478" spans="1:20"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</row>
    <row r="479" spans="1:20">
      <c r="A479" s="50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</row>
    <row r="480" spans="1:20"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</row>
    <row r="481" spans="1:20">
      <c r="B481" s="48"/>
      <c r="C481" s="48"/>
      <c r="D481" s="43"/>
      <c r="E481" s="173"/>
      <c r="F481" s="4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</row>
    <row r="482" spans="1:20">
      <c r="A482" s="47"/>
      <c r="B482" s="48"/>
      <c r="C482" s="48"/>
      <c r="D482" s="43"/>
      <c r="E482" s="173"/>
      <c r="F482" s="4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</row>
    <row r="483" spans="1:20">
      <c r="A483" s="47"/>
      <c r="B483" s="48"/>
      <c r="C483" s="48"/>
      <c r="D483" s="43"/>
      <c r="E483" s="173"/>
      <c r="F483" s="4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</row>
    <row r="484" spans="1:20">
      <c r="A484" s="47"/>
      <c r="B484" s="48"/>
      <c r="C484" s="48"/>
      <c r="D484" s="43"/>
      <c r="E484" s="173"/>
      <c r="F484" s="4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</row>
    <row r="485" spans="1:20">
      <c r="A485" s="67"/>
      <c r="B485" s="48"/>
      <c r="C485" s="48"/>
      <c r="D485" s="43"/>
      <c r="E485" s="173"/>
      <c r="F485" s="4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</row>
    <row r="486" spans="1:20">
      <c r="A486" s="67"/>
      <c r="B486" s="48"/>
      <c r="C486" s="48"/>
      <c r="D486" s="43"/>
      <c r="E486" s="173"/>
      <c r="F486" s="4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</row>
    <row r="487" spans="1:20">
      <c r="A487" s="47"/>
      <c r="B487" s="48"/>
      <c r="C487" s="48"/>
      <c r="D487" s="43"/>
      <c r="E487" s="173"/>
      <c r="F487" s="4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</row>
    <row r="488" spans="1:20" s="50" customFormat="1">
      <c r="B488" s="51"/>
      <c r="C488" s="51"/>
      <c r="D488" s="52"/>
      <c r="E488" s="203"/>
      <c r="F488" s="52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T488" s="451"/>
    </row>
    <row r="489" spans="1:20">
      <c r="A489" s="83"/>
      <c r="B489" s="84"/>
      <c r="C489" s="84"/>
      <c r="D489" s="84"/>
      <c r="E489" s="210"/>
      <c r="F489" s="84"/>
      <c r="G489" s="59"/>
      <c r="H489" s="53"/>
      <c r="I489" s="53"/>
      <c r="J489" s="53"/>
      <c r="K489" s="53"/>
      <c r="L489" s="53"/>
      <c r="M489" s="53"/>
      <c r="N489" s="53"/>
      <c r="O489" s="53"/>
      <c r="P489" s="53"/>
      <c r="Q489" s="53"/>
    </row>
    <row r="490" spans="1:20"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</row>
    <row r="491" spans="1:20">
      <c r="A491" s="50"/>
      <c r="B491" s="50"/>
      <c r="C491" s="50"/>
      <c r="D491" s="50"/>
      <c r="E491" s="211"/>
      <c r="F491" s="50"/>
      <c r="G491" s="59"/>
      <c r="H491" s="53"/>
      <c r="I491" s="53"/>
      <c r="J491" s="53"/>
      <c r="K491" s="53"/>
      <c r="L491" s="53"/>
      <c r="M491" s="53"/>
      <c r="N491" s="53"/>
      <c r="O491" s="53"/>
      <c r="P491" s="53"/>
      <c r="Q491" s="53"/>
    </row>
    <row r="492" spans="1:20"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</row>
    <row r="493" spans="1:20">
      <c r="B493" s="48"/>
      <c r="C493" s="48"/>
      <c r="D493" s="43"/>
      <c r="E493" s="173"/>
      <c r="F493" s="4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</row>
    <row r="494" spans="1:20">
      <c r="A494" s="47"/>
      <c r="B494" s="48"/>
      <c r="C494" s="48"/>
      <c r="D494" s="43"/>
      <c r="E494" s="173"/>
      <c r="F494" s="4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</row>
    <row r="495" spans="1:20">
      <c r="A495" s="47"/>
      <c r="B495" s="48"/>
      <c r="C495" s="48"/>
      <c r="D495" s="43"/>
      <c r="E495" s="173"/>
      <c r="F495" s="4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</row>
    <row r="496" spans="1:20">
      <c r="A496" s="47"/>
      <c r="B496" s="48"/>
      <c r="C496" s="48"/>
      <c r="D496" s="43"/>
      <c r="E496" s="173"/>
      <c r="F496" s="4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</row>
    <row r="497" spans="1:20">
      <c r="A497" s="67"/>
      <c r="B497" s="48"/>
      <c r="C497" s="48"/>
      <c r="D497" s="43"/>
      <c r="E497" s="173"/>
      <c r="F497" s="4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</row>
    <row r="498" spans="1:20">
      <c r="A498" s="67"/>
      <c r="B498" s="48"/>
      <c r="C498" s="48"/>
      <c r="D498" s="43"/>
      <c r="E498" s="173"/>
      <c r="F498" s="4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</row>
    <row r="499" spans="1:20">
      <c r="A499" s="47"/>
      <c r="B499" s="48"/>
      <c r="C499" s="48"/>
      <c r="D499" s="43"/>
      <c r="E499" s="173"/>
      <c r="F499" s="4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</row>
    <row r="500" spans="1:20" s="50" customFormat="1">
      <c r="B500" s="51"/>
      <c r="C500" s="51"/>
      <c r="D500" s="52"/>
      <c r="E500" s="203"/>
      <c r="F500" s="52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T500" s="451"/>
    </row>
    <row r="502" spans="1:20">
      <c r="A502" s="50"/>
      <c r="B502" s="50"/>
      <c r="C502" s="50"/>
      <c r="D502" s="50"/>
      <c r="E502" s="211"/>
      <c r="F502" s="50"/>
      <c r="G502" s="50"/>
    </row>
    <row r="508" spans="1:20">
      <c r="A508" s="83"/>
      <c r="B508" s="85"/>
      <c r="C508" s="85"/>
      <c r="D508" s="85"/>
      <c r="E508" s="212"/>
      <c r="F508" s="85"/>
      <c r="G508" s="85"/>
    </row>
    <row r="511" spans="1:20">
      <c r="A511" s="50"/>
      <c r="B511" s="50"/>
      <c r="C511" s="50"/>
      <c r="D511" s="50"/>
      <c r="E511" s="211"/>
      <c r="F511" s="50"/>
      <c r="G511" s="50"/>
    </row>
    <row r="512" spans="1:20">
      <c r="A512" s="50"/>
    </row>
    <row r="513" spans="1:7">
      <c r="A513" s="50"/>
      <c r="B513" s="50"/>
      <c r="C513" s="50"/>
      <c r="D513" s="50"/>
      <c r="E513" s="211"/>
      <c r="F513" s="50"/>
      <c r="G513" s="50"/>
    </row>
    <row r="519" spans="1:7">
      <c r="A519" s="50"/>
      <c r="B519" s="84"/>
      <c r="C519" s="84"/>
      <c r="D519" s="84"/>
      <c r="E519" s="210"/>
      <c r="F519" s="84"/>
      <c r="G519" s="84"/>
    </row>
    <row r="521" spans="1:7">
      <c r="A521" s="50"/>
      <c r="B521" s="50"/>
      <c r="C521" s="50"/>
      <c r="D521" s="50"/>
      <c r="E521" s="211"/>
      <c r="F521" s="50"/>
      <c r="G521" s="50"/>
    </row>
    <row r="526" spans="1:7">
      <c r="A526" s="83"/>
      <c r="B526" s="84"/>
      <c r="C526" s="84"/>
      <c r="D526" s="84"/>
      <c r="E526" s="210"/>
      <c r="F526" s="84"/>
      <c r="G526" s="84"/>
    </row>
    <row r="528" spans="1:7">
      <c r="A528" s="50"/>
      <c r="B528" s="50"/>
      <c r="C528" s="50"/>
      <c r="D528" s="50"/>
      <c r="E528" s="211"/>
      <c r="F528" s="50"/>
      <c r="G528" s="50"/>
    </row>
    <row r="533" spans="1:7">
      <c r="A533" s="83"/>
      <c r="B533" s="84"/>
      <c r="C533" s="84"/>
      <c r="D533" s="84"/>
      <c r="E533" s="210"/>
      <c r="F533" s="84"/>
      <c r="G533" s="84"/>
    </row>
    <row r="535" spans="1:7">
      <c r="A535" s="50"/>
      <c r="B535" s="50"/>
      <c r="C535" s="50"/>
      <c r="D535" s="50"/>
      <c r="E535" s="211"/>
      <c r="F535" s="50"/>
      <c r="G535" s="50"/>
    </row>
    <row r="540" spans="1:7">
      <c r="A540" s="83"/>
      <c r="B540" s="84"/>
      <c r="C540" s="84"/>
      <c r="D540" s="84"/>
      <c r="E540" s="210"/>
      <c r="F540" s="84"/>
      <c r="G540" s="84"/>
    </row>
    <row r="542" spans="1:7">
      <c r="A542" s="50"/>
      <c r="B542" s="50"/>
      <c r="C542" s="50"/>
      <c r="D542" s="50"/>
      <c r="E542" s="211"/>
      <c r="F542" s="50"/>
      <c r="G542" s="50"/>
    </row>
    <row r="548" spans="1:7">
      <c r="A548" s="83"/>
      <c r="B548" s="85"/>
      <c r="C548" s="85"/>
      <c r="D548" s="85"/>
      <c r="E548" s="212"/>
      <c r="F548" s="85"/>
      <c r="G548" s="85"/>
    </row>
    <row r="551" spans="1:7">
      <c r="A551" s="50"/>
      <c r="B551" s="50"/>
      <c r="C551" s="50"/>
      <c r="D551" s="50"/>
      <c r="E551" s="211"/>
      <c r="F551" s="50"/>
      <c r="G551" s="50"/>
    </row>
    <row r="552" spans="1:7">
      <c r="A552" s="50"/>
    </row>
    <row r="553" spans="1:7">
      <c r="A553" s="50"/>
      <c r="B553" s="50"/>
      <c r="C553" s="50"/>
      <c r="D553" s="50"/>
      <c r="E553" s="211"/>
      <c r="F553" s="50"/>
      <c r="G553" s="50"/>
    </row>
    <row r="559" spans="1:7">
      <c r="A559" s="50"/>
      <c r="B559" s="84"/>
      <c r="C559" s="84"/>
      <c r="D559" s="84"/>
      <c r="E559" s="210"/>
      <c r="F559" s="84"/>
      <c r="G559" s="84"/>
    </row>
    <row r="561" spans="1:7">
      <c r="A561" s="50"/>
      <c r="B561" s="50"/>
      <c r="C561" s="50"/>
      <c r="D561" s="50"/>
      <c r="E561" s="211"/>
      <c r="F561" s="50"/>
      <c r="G561" s="50"/>
    </row>
    <row r="566" spans="1:7">
      <c r="A566" s="83"/>
      <c r="B566" s="84"/>
      <c r="C566" s="84"/>
      <c r="D566" s="84"/>
      <c r="E566" s="210"/>
      <c r="F566" s="84"/>
      <c r="G566" s="84"/>
    </row>
    <row r="568" spans="1:7">
      <c r="A568" s="50"/>
      <c r="B568" s="50"/>
      <c r="C568" s="50"/>
      <c r="D568" s="50"/>
      <c r="E568" s="211"/>
      <c r="F568" s="50"/>
      <c r="G568" s="50"/>
    </row>
    <row r="573" spans="1:7">
      <c r="A573" s="83"/>
      <c r="B573" s="84"/>
      <c r="C573" s="84"/>
      <c r="D573" s="84"/>
      <c r="E573" s="210"/>
      <c r="F573" s="84"/>
      <c r="G573" s="84"/>
    </row>
    <row r="575" spans="1:7">
      <c r="A575" s="50"/>
      <c r="B575" s="50"/>
      <c r="C575" s="50"/>
      <c r="D575" s="50"/>
      <c r="E575" s="211"/>
      <c r="F575" s="50"/>
      <c r="G575" s="50"/>
    </row>
    <row r="580" spans="1:7">
      <c r="A580" s="83"/>
      <c r="B580" s="84"/>
      <c r="C580" s="84"/>
      <c r="D580" s="84"/>
      <c r="E580" s="210"/>
      <c r="F580" s="84"/>
      <c r="G580" s="84"/>
    </row>
    <row r="582" spans="1:7">
      <c r="A582" s="50"/>
      <c r="B582" s="50"/>
      <c r="C582" s="50"/>
      <c r="D582" s="50"/>
      <c r="E582" s="211"/>
      <c r="F582" s="50"/>
      <c r="G582" s="50"/>
    </row>
    <row r="588" spans="1:7">
      <c r="A588" s="83"/>
      <c r="B588" s="85"/>
      <c r="C588" s="85"/>
      <c r="D588" s="85"/>
      <c r="E588" s="212"/>
      <c r="F588" s="85"/>
      <c r="G588" s="85"/>
    </row>
    <row r="591" spans="1:7">
      <c r="A591" s="50"/>
      <c r="B591" s="50"/>
      <c r="C591" s="50"/>
      <c r="D591" s="50"/>
      <c r="E591" s="211"/>
      <c r="F591" s="50"/>
      <c r="G591" s="50"/>
    </row>
    <row r="592" spans="1:7">
      <c r="A592" s="50"/>
    </row>
    <row r="593" spans="1:7">
      <c r="A593" s="50"/>
      <c r="B593" s="50"/>
      <c r="C593" s="50"/>
      <c r="D593" s="50"/>
      <c r="E593" s="211"/>
      <c r="F593" s="50"/>
      <c r="G593" s="50"/>
    </row>
    <row r="599" spans="1:7">
      <c r="A599" s="50"/>
      <c r="B599" s="84"/>
      <c r="C599" s="84"/>
      <c r="D599" s="84"/>
      <c r="E599" s="210"/>
      <c r="F599" s="84"/>
      <c r="G599" s="84"/>
    </row>
    <row r="601" spans="1:7">
      <c r="A601" s="50"/>
      <c r="B601" s="50"/>
      <c r="C601" s="50"/>
      <c r="D601" s="50"/>
      <c r="E601" s="211"/>
      <c r="F601" s="50"/>
      <c r="G601" s="50"/>
    </row>
    <row r="606" spans="1:7">
      <c r="A606" s="83"/>
      <c r="B606" s="84"/>
      <c r="C606" s="84"/>
      <c r="D606" s="84"/>
      <c r="E606" s="210"/>
      <c r="F606" s="84"/>
      <c r="G606" s="84"/>
    </row>
    <row r="608" spans="1:7">
      <c r="A608" s="50"/>
      <c r="B608" s="50"/>
      <c r="C608" s="50"/>
      <c r="D608" s="50"/>
      <c r="E608" s="211"/>
      <c r="F608" s="50"/>
      <c r="G608" s="50"/>
    </row>
    <row r="613" spans="1:7">
      <c r="A613" s="83"/>
      <c r="B613" s="84"/>
      <c r="C613" s="84"/>
      <c r="D613" s="84"/>
      <c r="E613" s="210"/>
      <c r="F613" s="84"/>
      <c r="G613" s="84"/>
    </row>
    <row r="615" spans="1:7">
      <c r="A615" s="50"/>
      <c r="B615" s="50"/>
      <c r="C615" s="50"/>
      <c r="D615" s="50"/>
      <c r="E615" s="211"/>
      <c r="F615" s="50"/>
      <c r="G615" s="50"/>
    </row>
    <row r="620" spans="1:7">
      <c r="A620" s="83"/>
      <c r="B620" s="84"/>
      <c r="C620" s="84"/>
      <c r="D620" s="84"/>
      <c r="E620" s="210"/>
      <c r="F620" s="84"/>
      <c r="G620" s="84"/>
    </row>
    <row r="622" spans="1:7">
      <c r="A622" s="50"/>
      <c r="B622" s="50"/>
      <c r="C622" s="50"/>
      <c r="D622" s="50"/>
      <c r="E622" s="211"/>
      <c r="F622" s="50"/>
      <c r="G622" s="50"/>
    </row>
    <row r="628" spans="1:7">
      <c r="A628" s="83"/>
      <c r="B628" s="85"/>
      <c r="C628" s="85"/>
      <c r="D628" s="85"/>
      <c r="E628" s="212"/>
      <c r="F628" s="85"/>
      <c r="G628" s="85"/>
    </row>
    <row r="631" spans="1:7">
      <c r="A631" s="50"/>
      <c r="B631" s="50"/>
      <c r="C631" s="50"/>
      <c r="D631" s="50"/>
      <c r="E631" s="211"/>
      <c r="F631" s="50"/>
      <c r="G631" s="50"/>
    </row>
    <row r="632" spans="1:7">
      <c r="A632" s="50"/>
    </row>
    <row r="633" spans="1:7">
      <c r="A633" s="50"/>
      <c r="B633" s="50"/>
      <c r="C633" s="50"/>
      <c r="D633" s="50"/>
      <c r="E633" s="211"/>
      <c r="F633" s="50"/>
      <c r="G633" s="50"/>
    </row>
    <row r="639" spans="1:7">
      <c r="A639" s="50"/>
      <c r="B639" s="84"/>
      <c r="C639" s="84"/>
      <c r="D639" s="84"/>
      <c r="E639" s="210"/>
      <c r="F639" s="84"/>
      <c r="G639" s="84"/>
    </row>
    <row r="641" spans="1:7">
      <c r="A641" s="50"/>
      <c r="B641" s="50"/>
      <c r="C641" s="50"/>
      <c r="D641" s="50"/>
      <c r="E641" s="211"/>
      <c r="F641" s="50"/>
      <c r="G641" s="50"/>
    </row>
    <row r="646" spans="1:7">
      <c r="A646" s="83"/>
      <c r="B646" s="84"/>
      <c r="C646" s="84"/>
      <c r="D646" s="84"/>
      <c r="E646" s="210"/>
      <c r="F646" s="84"/>
      <c r="G646" s="84"/>
    </row>
    <row r="648" spans="1:7">
      <c r="A648" s="50"/>
      <c r="B648" s="50"/>
      <c r="C648" s="50"/>
      <c r="D648" s="50"/>
      <c r="E648" s="211"/>
      <c r="F648" s="50"/>
      <c r="G648" s="50"/>
    </row>
    <row r="653" spans="1:7">
      <c r="A653" s="83"/>
      <c r="B653" s="84"/>
      <c r="C653" s="84"/>
      <c r="D653" s="84"/>
      <c r="E653" s="210"/>
      <c r="F653" s="84"/>
      <c r="G653" s="84"/>
    </row>
    <row r="655" spans="1:7">
      <c r="A655" s="50"/>
      <c r="B655" s="50"/>
      <c r="C655" s="50"/>
      <c r="D655" s="50"/>
      <c r="E655" s="211"/>
      <c r="F655" s="50"/>
      <c r="G655" s="50"/>
    </row>
    <row r="660" spans="1:7">
      <c r="A660" s="83"/>
      <c r="B660" s="84"/>
      <c r="C660" s="84"/>
      <c r="D660" s="84"/>
      <c r="E660" s="210"/>
      <c r="F660" s="84"/>
      <c r="G660" s="84"/>
    </row>
    <row r="662" spans="1:7">
      <c r="A662" s="50"/>
      <c r="B662" s="50"/>
      <c r="C662" s="50"/>
      <c r="D662" s="50"/>
      <c r="E662" s="211"/>
      <c r="F662" s="50"/>
      <c r="G662" s="50"/>
    </row>
    <row r="668" spans="1:7">
      <c r="A668" s="83"/>
      <c r="B668" s="85"/>
      <c r="C668" s="85"/>
      <c r="D668" s="85"/>
      <c r="E668" s="212"/>
      <c r="F668" s="85"/>
      <c r="G668" s="85"/>
    </row>
    <row r="671" spans="1:7">
      <c r="A671" s="50"/>
      <c r="B671" s="50"/>
      <c r="C671" s="50"/>
      <c r="D671" s="50"/>
      <c r="E671" s="211"/>
      <c r="F671" s="50"/>
      <c r="G671" s="50"/>
    </row>
    <row r="672" spans="1:7">
      <c r="A672" s="50"/>
    </row>
    <row r="673" spans="1:7">
      <c r="A673" s="50"/>
      <c r="B673" s="50"/>
      <c r="C673" s="50"/>
      <c r="D673" s="50"/>
      <c r="E673" s="211"/>
      <c r="F673" s="50"/>
      <c r="G673" s="50"/>
    </row>
    <row r="679" spans="1:7">
      <c r="A679" s="50"/>
      <c r="B679" s="84"/>
      <c r="C679" s="84"/>
      <c r="D679" s="84"/>
      <c r="E679" s="210"/>
      <c r="F679" s="84"/>
      <c r="G679" s="84"/>
    </row>
    <row r="681" spans="1:7">
      <c r="A681" s="50"/>
      <c r="B681" s="50"/>
      <c r="C681" s="50"/>
      <c r="D681" s="50"/>
      <c r="E681" s="211"/>
      <c r="F681" s="50"/>
      <c r="G681" s="50"/>
    </row>
    <row r="686" spans="1:7">
      <c r="A686" s="83"/>
      <c r="B686" s="84"/>
      <c r="C686" s="84"/>
      <c r="D686" s="84"/>
      <c r="E686" s="210"/>
      <c r="F686" s="84"/>
      <c r="G686" s="84"/>
    </row>
    <row r="688" spans="1:7">
      <c r="A688" s="50"/>
      <c r="B688" s="50"/>
      <c r="C688" s="50"/>
      <c r="D688" s="50"/>
      <c r="E688" s="211"/>
      <c r="F688" s="50"/>
      <c r="G688" s="50"/>
    </row>
    <row r="693" spans="1:7">
      <c r="A693" s="83"/>
      <c r="B693" s="84"/>
      <c r="C693" s="84"/>
      <c r="D693" s="84"/>
      <c r="E693" s="210"/>
      <c r="F693" s="84"/>
      <c r="G693" s="84"/>
    </row>
    <row r="695" spans="1:7">
      <c r="A695" s="50"/>
      <c r="B695" s="50"/>
      <c r="C695" s="50"/>
      <c r="D695" s="50"/>
      <c r="E695" s="211"/>
      <c r="F695" s="50"/>
      <c r="G695" s="50"/>
    </row>
    <row r="700" spans="1:7">
      <c r="A700" s="83"/>
      <c r="B700" s="84"/>
      <c r="C700" s="84"/>
      <c r="D700" s="84"/>
      <c r="E700" s="210"/>
      <c r="F700" s="84"/>
      <c r="G700" s="84"/>
    </row>
    <row r="702" spans="1:7">
      <c r="A702" s="50"/>
      <c r="B702" s="50"/>
      <c r="C702" s="50"/>
      <c r="D702" s="50"/>
      <c r="E702" s="211"/>
      <c r="F702" s="50"/>
      <c r="G702" s="50"/>
    </row>
    <row r="708" spans="1:7">
      <c r="A708" s="83"/>
      <c r="B708" s="85"/>
      <c r="C708" s="85"/>
      <c r="D708" s="85"/>
      <c r="E708" s="212"/>
      <c r="F708" s="85"/>
      <c r="G708" s="85"/>
    </row>
    <row r="711" spans="1:7">
      <c r="A711" s="50"/>
      <c r="B711" s="50"/>
      <c r="C711" s="50"/>
      <c r="D711" s="50"/>
      <c r="E711" s="211"/>
      <c r="F711" s="50"/>
      <c r="G711" s="50"/>
    </row>
    <row r="712" spans="1:7">
      <c r="A712" s="50"/>
    </row>
    <row r="713" spans="1:7">
      <c r="A713" s="50"/>
      <c r="B713" s="50"/>
      <c r="C713" s="50"/>
      <c r="D713" s="50"/>
      <c r="E713" s="211"/>
      <c r="F713" s="50"/>
      <c r="G713" s="50"/>
    </row>
    <row r="719" spans="1:7">
      <c r="A719" s="50"/>
      <c r="B719" s="84"/>
      <c r="C719" s="84"/>
      <c r="D719" s="84"/>
      <c r="E719" s="210"/>
      <c r="F719" s="84"/>
      <c r="G719" s="84"/>
    </row>
    <row r="721" spans="1:7">
      <c r="A721" s="50"/>
      <c r="B721" s="50"/>
      <c r="C721" s="50"/>
      <c r="D721" s="50"/>
      <c r="E721" s="211"/>
      <c r="F721" s="50"/>
      <c r="G721" s="50"/>
    </row>
    <row r="726" spans="1:7">
      <c r="A726" s="83"/>
      <c r="B726" s="84"/>
      <c r="C726" s="84"/>
      <c r="D726" s="84"/>
      <c r="E726" s="210"/>
      <c r="F726" s="84"/>
      <c r="G726" s="84"/>
    </row>
    <row r="728" spans="1:7">
      <c r="A728" s="50"/>
      <c r="B728" s="50"/>
      <c r="C728" s="50"/>
      <c r="D728" s="50"/>
      <c r="E728" s="211"/>
      <c r="F728" s="50"/>
      <c r="G728" s="50"/>
    </row>
    <row r="733" spans="1:7">
      <c r="A733" s="83"/>
      <c r="B733" s="84"/>
      <c r="C733" s="84"/>
      <c r="D733" s="84"/>
      <c r="E733" s="210"/>
      <c r="F733" s="84"/>
      <c r="G733" s="84"/>
    </row>
    <row r="735" spans="1:7">
      <c r="A735" s="50"/>
      <c r="B735" s="50"/>
      <c r="C735" s="50"/>
      <c r="D735" s="50"/>
      <c r="E735" s="211"/>
      <c r="F735" s="50"/>
      <c r="G735" s="50"/>
    </row>
    <row r="740" spans="1:7">
      <c r="A740" s="83"/>
      <c r="B740" s="84"/>
      <c r="C740" s="84"/>
      <c r="D740" s="84"/>
      <c r="E740" s="210"/>
      <c r="F740" s="84"/>
      <c r="G740" s="84"/>
    </row>
    <row r="742" spans="1:7">
      <c r="A742" s="50"/>
      <c r="B742" s="50"/>
      <c r="C742" s="50"/>
      <c r="D742" s="50"/>
      <c r="E742" s="211"/>
      <c r="F742" s="50"/>
      <c r="G742" s="50"/>
    </row>
    <row r="748" spans="1:7">
      <c r="A748" s="83"/>
      <c r="B748" s="85"/>
      <c r="C748" s="85"/>
      <c r="D748" s="85"/>
      <c r="E748" s="212"/>
      <c r="F748" s="85"/>
      <c r="G748" s="85"/>
    </row>
    <row r="751" spans="1:7">
      <c r="A751" s="50"/>
      <c r="B751" s="50"/>
      <c r="C751" s="50"/>
      <c r="D751" s="50"/>
      <c r="E751" s="211"/>
      <c r="F751" s="50"/>
      <c r="G751" s="50"/>
    </row>
    <row r="752" spans="1:7">
      <c r="A752" s="50"/>
    </row>
    <row r="753" spans="1:7">
      <c r="A753" s="50"/>
      <c r="B753" s="50"/>
      <c r="C753" s="50"/>
      <c r="D753" s="50"/>
      <c r="E753" s="211"/>
      <c r="F753" s="50"/>
      <c r="G753" s="50"/>
    </row>
    <row r="759" spans="1:7">
      <c r="A759" s="50"/>
      <c r="B759" s="84"/>
      <c r="C759" s="84"/>
      <c r="D759" s="84"/>
      <c r="E759" s="210"/>
      <c r="F759" s="84"/>
      <c r="G759" s="84"/>
    </row>
    <row r="761" spans="1:7">
      <c r="A761" s="50"/>
      <c r="B761" s="50"/>
      <c r="C761" s="50"/>
      <c r="D761" s="50"/>
      <c r="E761" s="211"/>
      <c r="F761" s="50"/>
      <c r="G761" s="50"/>
    </row>
    <row r="766" spans="1:7">
      <c r="A766" s="83"/>
      <c r="B766" s="84"/>
      <c r="C766" s="84"/>
      <c r="D766" s="84"/>
      <c r="E766" s="210"/>
      <c r="F766" s="84"/>
      <c r="G766" s="84"/>
    </row>
    <row r="768" spans="1:7">
      <c r="A768" s="50"/>
      <c r="B768" s="50"/>
      <c r="C768" s="50"/>
      <c r="D768" s="50"/>
      <c r="E768" s="211"/>
      <c r="F768" s="50"/>
      <c r="G768" s="50"/>
    </row>
    <row r="773" spans="1:7">
      <c r="A773" s="83"/>
      <c r="B773" s="84"/>
      <c r="C773" s="84"/>
      <c r="D773" s="84"/>
      <c r="E773" s="210"/>
      <c r="F773" s="84"/>
      <c r="G773" s="84"/>
    </row>
    <row r="775" spans="1:7">
      <c r="A775" s="50"/>
      <c r="B775" s="50"/>
      <c r="C775" s="50"/>
      <c r="D775" s="50"/>
      <c r="E775" s="211"/>
      <c r="F775" s="50"/>
      <c r="G775" s="50"/>
    </row>
    <row r="780" spans="1:7">
      <c r="A780" s="83"/>
      <c r="B780" s="84"/>
      <c r="C780" s="84"/>
      <c r="D780" s="84"/>
      <c r="E780" s="210"/>
      <c r="F780" s="84"/>
      <c r="G780" s="84"/>
    </row>
    <row r="782" spans="1:7">
      <c r="A782" s="50"/>
      <c r="B782" s="50"/>
      <c r="C782" s="50"/>
      <c r="D782" s="50"/>
      <c r="E782" s="211"/>
      <c r="F782" s="50"/>
      <c r="G782" s="50"/>
    </row>
    <row r="788" spans="1:7">
      <c r="A788" s="83"/>
      <c r="B788" s="85"/>
      <c r="C788" s="85"/>
      <c r="D788" s="85"/>
      <c r="E788" s="212"/>
      <c r="F788" s="85"/>
      <c r="G788" s="85"/>
    </row>
    <row r="791" spans="1:7">
      <c r="A791" s="50"/>
      <c r="B791" s="50"/>
      <c r="C791" s="50"/>
      <c r="D791" s="50"/>
      <c r="E791" s="211"/>
      <c r="F791" s="50"/>
      <c r="G791" s="50"/>
    </row>
    <row r="792" spans="1:7">
      <c r="A792" s="50"/>
    </row>
    <row r="793" spans="1:7">
      <c r="A793" s="50"/>
      <c r="B793" s="50"/>
      <c r="C793" s="50"/>
      <c r="D793" s="50"/>
      <c r="E793" s="211"/>
      <c r="F793" s="50"/>
      <c r="G793" s="50"/>
    </row>
    <row r="799" spans="1:7">
      <c r="A799" s="50"/>
      <c r="B799" s="84"/>
      <c r="C799" s="84"/>
      <c r="D799" s="84"/>
      <c r="E799" s="210"/>
      <c r="F799" s="84"/>
      <c r="G799" s="84"/>
    </row>
    <row r="801" spans="1:7">
      <c r="A801" s="50"/>
      <c r="B801" s="50"/>
      <c r="C801" s="50"/>
      <c r="D801" s="50"/>
      <c r="E801" s="211"/>
      <c r="F801" s="50"/>
      <c r="G801" s="50"/>
    </row>
    <row r="806" spans="1:7">
      <c r="A806" s="83"/>
      <c r="B806" s="84"/>
      <c r="C806" s="84"/>
      <c r="D806" s="84"/>
      <c r="E806" s="210"/>
      <c r="F806" s="84"/>
      <c r="G806" s="84"/>
    </row>
    <row r="808" spans="1:7">
      <c r="A808" s="50"/>
      <c r="B808" s="50"/>
      <c r="C808" s="50"/>
      <c r="D808" s="50"/>
      <c r="E808" s="211"/>
      <c r="F808" s="50"/>
      <c r="G808" s="50"/>
    </row>
    <row r="813" spans="1:7">
      <c r="A813" s="83"/>
      <c r="B813" s="84"/>
      <c r="C813" s="84"/>
      <c r="D813" s="84"/>
      <c r="E813" s="210"/>
      <c r="F813" s="84"/>
      <c r="G813" s="84"/>
    </row>
    <row r="815" spans="1:7">
      <c r="A815" s="50"/>
      <c r="B815" s="50"/>
      <c r="C815" s="50"/>
      <c r="D815" s="50"/>
      <c r="E815" s="211"/>
      <c r="F815" s="50"/>
      <c r="G815" s="50"/>
    </row>
    <row r="820" spans="1:7">
      <c r="A820" s="83"/>
      <c r="B820" s="84"/>
      <c r="C820" s="84"/>
      <c r="D820" s="84"/>
      <c r="E820" s="210"/>
      <c r="F820" s="84"/>
      <c r="G820" s="84"/>
    </row>
    <row r="822" spans="1:7">
      <c r="A822" s="50"/>
      <c r="B822" s="50"/>
      <c r="C822" s="50"/>
      <c r="D822" s="50"/>
      <c r="E822" s="211"/>
      <c r="F822" s="50"/>
      <c r="G822" s="50"/>
    </row>
    <row r="828" spans="1:7">
      <c r="A828" s="83"/>
      <c r="B828" s="85"/>
      <c r="C828" s="85"/>
      <c r="D828" s="85"/>
      <c r="E828" s="212"/>
      <c r="F828" s="85"/>
      <c r="G828" s="85"/>
    </row>
    <row r="831" spans="1:7">
      <c r="A831" s="50"/>
      <c r="B831" s="50"/>
      <c r="C831" s="50"/>
      <c r="D831" s="50"/>
      <c r="E831" s="211"/>
      <c r="F831" s="50"/>
      <c r="G831" s="50"/>
    </row>
    <row r="832" spans="1:7">
      <c r="A832" s="50"/>
    </row>
    <row r="833" spans="1:7">
      <c r="A833" s="50"/>
      <c r="B833" s="50"/>
      <c r="C833" s="50"/>
      <c r="D833" s="50"/>
      <c r="E833" s="211"/>
      <c r="F833" s="50"/>
      <c r="G833" s="50"/>
    </row>
    <row r="839" spans="1:7">
      <c r="A839" s="50"/>
      <c r="B839" s="84"/>
      <c r="C839" s="84"/>
      <c r="D839" s="84"/>
      <c r="E839" s="210"/>
      <c r="F839" s="84"/>
      <c r="G839" s="84"/>
    </row>
    <row r="841" spans="1:7">
      <c r="A841" s="50"/>
      <c r="B841" s="50"/>
      <c r="C841" s="50"/>
      <c r="D841" s="50"/>
      <c r="E841" s="211"/>
      <c r="F841" s="50"/>
      <c r="G841" s="50"/>
    </row>
    <row r="846" spans="1:7">
      <c r="A846" s="83"/>
      <c r="B846" s="84"/>
      <c r="C846" s="84"/>
      <c r="D846" s="84"/>
      <c r="E846" s="210"/>
      <c r="F846" s="84"/>
      <c r="G846" s="84"/>
    </row>
    <row r="848" spans="1:7">
      <c r="A848" s="50"/>
      <c r="B848" s="50"/>
      <c r="C848" s="50"/>
      <c r="D848" s="50"/>
      <c r="E848" s="211"/>
      <c r="F848" s="50"/>
      <c r="G848" s="50"/>
    </row>
    <row r="853" spans="1:7">
      <c r="A853" s="83"/>
      <c r="B853" s="84"/>
      <c r="C853" s="84"/>
      <c r="D853" s="84"/>
      <c r="E853" s="210"/>
      <c r="F853" s="84"/>
      <c r="G853" s="84"/>
    </row>
    <row r="855" spans="1:7">
      <c r="A855" s="50"/>
      <c r="B855" s="50"/>
      <c r="C855" s="50"/>
      <c r="D855" s="50"/>
      <c r="E855" s="211"/>
      <c r="F855" s="50"/>
      <c r="G855" s="50"/>
    </row>
    <row r="860" spans="1:7">
      <c r="A860" s="83"/>
      <c r="B860" s="84"/>
      <c r="C860" s="84"/>
      <c r="D860" s="84"/>
      <c r="E860" s="210"/>
      <c r="F860" s="84"/>
      <c r="G860" s="84"/>
    </row>
    <row r="862" spans="1:7">
      <c r="A862" s="50"/>
      <c r="B862" s="50"/>
      <c r="C862" s="50"/>
      <c r="D862" s="50"/>
      <c r="E862" s="211"/>
      <c r="F862" s="50"/>
      <c r="G862" s="50"/>
    </row>
    <row r="868" spans="1:7">
      <c r="A868" s="83"/>
      <c r="B868" s="85"/>
      <c r="C868" s="85"/>
      <c r="D868" s="85"/>
      <c r="E868" s="212"/>
      <c r="F868" s="85"/>
      <c r="G868" s="85"/>
    </row>
    <row r="871" spans="1:7">
      <c r="A871" s="50"/>
      <c r="B871" s="50"/>
      <c r="C871" s="50"/>
      <c r="D871" s="50"/>
      <c r="E871" s="211"/>
      <c r="F871" s="50"/>
      <c r="G871" s="50"/>
    </row>
    <row r="872" spans="1:7">
      <c r="A872" s="50"/>
    </row>
    <row r="873" spans="1:7">
      <c r="A873" s="50"/>
      <c r="B873" s="50"/>
      <c r="C873" s="50"/>
      <c r="D873" s="50"/>
      <c r="E873" s="211"/>
      <c r="F873" s="50"/>
      <c r="G873" s="50"/>
    </row>
    <row r="879" spans="1:7">
      <c r="A879" s="50"/>
      <c r="B879" s="84"/>
      <c r="C879" s="84"/>
      <c r="D879" s="84"/>
      <c r="E879" s="210"/>
      <c r="F879" s="84"/>
      <c r="G879" s="84"/>
    </row>
    <row r="881" spans="1:7">
      <c r="A881" s="50"/>
      <c r="B881" s="50"/>
      <c r="C881" s="50"/>
      <c r="D881" s="50"/>
      <c r="E881" s="211"/>
      <c r="F881" s="50"/>
      <c r="G881" s="50"/>
    </row>
    <row r="886" spans="1:7">
      <c r="A886" s="83"/>
      <c r="B886" s="84"/>
      <c r="C886" s="84"/>
      <c r="D886" s="84"/>
      <c r="E886" s="210"/>
      <c r="F886" s="84"/>
      <c r="G886" s="84"/>
    </row>
    <row r="888" spans="1:7">
      <c r="A888" s="50"/>
      <c r="B888" s="50"/>
      <c r="C888" s="50"/>
      <c r="D888" s="50"/>
      <c r="E888" s="211"/>
      <c r="F888" s="50"/>
      <c r="G888" s="50"/>
    </row>
    <row r="893" spans="1:7">
      <c r="A893" s="83"/>
      <c r="B893" s="84"/>
      <c r="C893" s="84"/>
      <c r="D893" s="84"/>
      <c r="E893" s="210"/>
      <c r="F893" s="84"/>
      <c r="G893" s="84"/>
    </row>
    <row r="895" spans="1:7">
      <c r="A895" s="50"/>
      <c r="B895" s="50"/>
      <c r="C895" s="50"/>
      <c r="D895" s="50"/>
      <c r="E895" s="211"/>
      <c r="F895" s="50"/>
      <c r="G895" s="50"/>
    </row>
    <row r="900" spans="1:7">
      <c r="A900" s="83"/>
      <c r="B900" s="84"/>
      <c r="C900" s="84"/>
      <c r="D900" s="84"/>
      <c r="E900" s="210"/>
      <c r="F900" s="84"/>
      <c r="G900" s="84"/>
    </row>
    <row r="902" spans="1:7">
      <c r="A902" s="50"/>
      <c r="B902" s="50"/>
      <c r="C902" s="50"/>
      <c r="D902" s="50"/>
      <c r="E902" s="211"/>
      <c r="F902" s="50"/>
      <c r="G902" s="50"/>
    </row>
    <row r="908" spans="1:7">
      <c r="A908" s="83"/>
      <c r="B908" s="85"/>
      <c r="C908" s="85"/>
      <c r="D908" s="85"/>
      <c r="E908" s="212"/>
      <c r="F908" s="85"/>
      <c r="G908" s="85"/>
    </row>
    <row r="911" spans="1:7">
      <c r="A911" s="50"/>
      <c r="B911" s="50"/>
      <c r="C911" s="50"/>
      <c r="D911" s="50"/>
      <c r="E911" s="211"/>
      <c r="F911" s="50"/>
      <c r="G911" s="50"/>
    </row>
    <row r="912" spans="1:7">
      <c r="A912" s="50"/>
    </row>
    <row r="913" spans="1:7">
      <c r="A913" s="50"/>
      <c r="B913" s="50"/>
      <c r="C913" s="50"/>
      <c r="D913" s="50"/>
      <c r="E913" s="211"/>
      <c r="F913" s="50"/>
      <c r="G913" s="50"/>
    </row>
    <row r="919" spans="1:7">
      <c r="A919" s="50"/>
      <c r="B919" s="84"/>
      <c r="C919" s="84"/>
      <c r="D919" s="84"/>
      <c r="E919" s="210"/>
      <c r="F919" s="84"/>
      <c r="G919" s="84"/>
    </row>
    <row r="921" spans="1:7">
      <c r="A921" s="50"/>
      <c r="B921" s="50"/>
      <c r="C921" s="50"/>
      <c r="D921" s="50"/>
      <c r="E921" s="211"/>
      <c r="F921" s="50"/>
      <c r="G921" s="50"/>
    </row>
    <row r="926" spans="1:7">
      <c r="A926" s="83"/>
      <c r="B926" s="84"/>
      <c r="C926" s="84"/>
      <c r="D926" s="84"/>
      <c r="E926" s="210"/>
      <c r="F926" s="84"/>
      <c r="G926" s="84"/>
    </row>
    <row r="928" spans="1:7">
      <c r="A928" s="50"/>
      <c r="B928" s="50"/>
      <c r="C928" s="50"/>
      <c r="D928" s="50"/>
      <c r="E928" s="211"/>
      <c r="F928" s="50"/>
      <c r="G928" s="50"/>
    </row>
    <row r="933" spans="1:7">
      <c r="A933" s="83"/>
      <c r="B933" s="84"/>
      <c r="C933" s="84"/>
      <c r="D933" s="84"/>
      <c r="E933" s="210"/>
      <c r="F933" s="84"/>
      <c r="G933" s="84"/>
    </row>
    <row r="935" spans="1:7">
      <c r="A935" s="50"/>
      <c r="B935" s="50"/>
      <c r="C935" s="50"/>
      <c r="D935" s="50"/>
      <c r="E935" s="211"/>
      <c r="F935" s="50"/>
      <c r="G935" s="50"/>
    </row>
    <row r="940" spans="1:7">
      <c r="A940" s="83"/>
      <c r="B940" s="84"/>
      <c r="C940" s="84"/>
      <c r="D940" s="84"/>
      <c r="E940" s="210"/>
      <c r="F940" s="84"/>
      <c r="G940" s="84"/>
    </row>
    <row r="942" spans="1:7">
      <c r="A942" s="50"/>
      <c r="B942" s="50"/>
      <c r="C942" s="50"/>
      <c r="D942" s="50"/>
      <c r="E942" s="211"/>
      <c r="F942" s="50"/>
      <c r="G942" s="50"/>
    </row>
    <row r="948" spans="1:7">
      <c r="A948" s="83"/>
      <c r="B948" s="85"/>
      <c r="C948" s="85"/>
      <c r="D948" s="85"/>
      <c r="E948" s="212"/>
      <c r="F948" s="85"/>
      <c r="G948" s="85"/>
    </row>
    <row r="951" spans="1:7">
      <c r="A951" s="50"/>
      <c r="B951" s="50"/>
      <c r="C951" s="50"/>
      <c r="D951" s="50"/>
      <c r="E951" s="211"/>
      <c r="F951" s="50"/>
      <c r="G951" s="50"/>
    </row>
    <row r="952" spans="1:7">
      <c r="A952" s="50"/>
    </row>
    <row r="953" spans="1:7">
      <c r="A953" s="50"/>
      <c r="B953" s="50"/>
      <c r="C953" s="50"/>
      <c r="D953" s="50"/>
      <c r="E953" s="211"/>
      <c r="F953" s="50"/>
      <c r="G953" s="50"/>
    </row>
    <row r="959" spans="1:7">
      <c r="A959" s="50"/>
      <c r="B959" s="84"/>
      <c r="C959" s="84"/>
      <c r="D959" s="84"/>
      <c r="E959" s="210"/>
      <c r="F959" s="84"/>
      <c r="G959" s="84"/>
    </row>
    <row r="961" spans="1:7">
      <c r="A961" s="50"/>
      <c r="B961" s="50"/>
      <c r="C961" s="50"/>
      <c r="D961" s="50"/>
      <c r="E961" s="211"/>
      <c r="F961" s="50"/>
      <c r="G961" s="50"/>
    </row>
    <row r="966" spans="1:7">
      <c r="A966" s="83"/>
      <c r="B966" s="84"/>
      <c r="C966" s="84"/>
      <c r="D966" s="84"/>
      <c r="E966" s="210"/>
      <c r="F966" s="84"/>
      <c r="G966" s="84"/>
    </row>
    <row r="968" spans="1:7">
      <c r="A968" s="50"/>
      <c r="B968" s="50"/>
      <c r="C968" s="50"/>
      <c r="D968" s="50"/>
      <c r="E968" s="211"/>
      <c r="F968" s="50"/>
      <c r="G968" s="50"/>
    </row>
    <row r="973" spans="1:7">
      <c r="A973" s="83"/>
      <c r="B973" s="84"/>
      <c r="C973" s="84"/>
      <c r="D973" s="84"/>
      <c r="E973" s="210"/>
      <c r="F973" s="84"/>
      <c r="G973" s="84"/>
    </row>
    <row r="975" spans="1:7">
      <c r="A975" s="50"/>
      <c r="B975" s="50"/>
      <c r="C975" s="50"/>
      <c r="D975" s="50"/>
      <c r="E975" s="211"/>
      <c r="F975" s="50"/>
      <c r="G975" s="50"/>
    </row>
    <row r="980" spans="1:7">
      <c r="A980" s="83"/>
      <c r="B980" s="84"/>
      <c r="C980" s="84"/>
      <c r="D980" s="84"/>
      <c r="E980" s="210"/>
      <c r="F980" s="84"/>
      <c r="G980" s="84"/>
    </row>
    <row r="982" spans="1:7">
      <c r="A982" s="50"/>
      <c r="B982" s="50"/>
      <c r="C982" s="50"/>
      <c r="D982" s="50"/>
      <c r="E982" s="211"/>
      <c r="F982" s="50"/>
      <c r="G982" s="50"/>
    </row>
    <row r="988" spans="1:7">
      <c r="A988" s="83"/>
      <c r="B988" s="85"/>
      <c r="C988" s="85"/>
      <c r="D988" s="85"/>
      <c r="E988" s="212"/>
      <c r="F988" s="85"/>
      <c r="G988" s="85"/>
    </row>
    <row r="991" spans="1:7">
      <c r="A991" s="50"/>
      <c r="B991" s="50"/>
      <c r="C991" s="50"/>
      <c r="D991" s="50"/>
      <c r="E991" s="211"/>
      <c r="F991" s="50"/>
      <c r="G991" s="50"/>
    </row>
    <row r="992" spans="1:7">
      <c r="A992" s="50"/>
    </row>
    <row r="993" spans="1:7">
      <c r="A993" s="50"/>
      <c r="B993" s="50"/>
      <c r="C993" s="50"/>
      <c r="D993" s="50"/>
      <c r="E993" s="211"/>
      <c r="F993" s="50"/>
      <c r="G993" s="50"/>
    </row>
    <row r="999" spans="1:7">
      <c r="A999" s="50"/>
      <c r="B999" s="84"/>
      <c r="C999" s="84"/>
      <c r="D999" s="84"/>
      <c r="E999" s="210"/>
      <c r="F999" s="84"/>
      <c r="G999" s="84"/>
    </row>
    <row r="1001" spans="1:7">
      <c r="A1001" s="50"/>
      <c r="B1001" s="50"/>
      <c r="C1001" s="50"/>
      <c r="D1001" s="50"/>
      <c r="E1001" s="211"/>
      <c r="F1001" s="50"/>
      <c r="G1001" s="50"/>
    </row>
    <row r="1006" spans="1:7">
      <c r="A1006" s="83"/>
      <c r="B1006" s="84"/>
      <c r="C1006" s="84"/>
      <c r="D1006" s="84"/>
      <c r="E1006" s="210"/>
      <c r="F1006" s="84"/>
      <c r="G1006" s="84"/>
    </row>
    <row r="1008" spans="1:7">
      <c r="A1008" s="50"/>
      <c r="B1008" s="50"/>
      <c r="C1008" s="50"/>
      <c r="D1008" s="50"/>
      <c r="E1008" s="211"/>
      <c r="F1008" s="50"/>
      <c r="G1008" s="50"/>
    </row>
    <row r="1013" spans="1:7">
      <c r="A1013" s="83"/>
      <c r="B1013" s="84"/>
      <c r="C1013" s="84"/>
      <c r="D1013" s="84"/>
      <c r="E1013" s="210"/>
      <c r="F1013" s="84"/>
      <c r="G1013" s="84"/>
    </row>
    <row r="1015" spans="1:7">
      <c r="A1015" s="50"/>
      <c r="B1015" s="50"/>
      <c r="C1015" s="50"/>
      <c r="D1015" s="50"/>
      <c r="E1015" s="211"/>
      <c r="F1015" s="50"/>
      <c r="G1015" s="50"/>
    </row>
    <row r="1020" spans="1:7">
      <c r="A1020" s="83"/>
      <c r="B1020" s="84"/>
      <c r="C1020" s="84"/>
      <c r="D1020" s="84"/>
      <c r="E1020" s="210"/>
      <c r="F1020" s="84"/>
      <c r="G1020" s="84"/>
    </row>
    <row r="1022" spans="1:7">
      <c r="A1022" s="50"/>
      <c r="B1022" s="50"/>
      <c r="C1022" s="50"/>
      <c r="D1022" s="50"/>
      <c r="E1022" s="211"/>
      <c r="F1022" s="50"/>
      <c r="G1022" s="50"/>
    </row>
    <row r="1028" spans="1:7">
      <c r="A1028" s="83"/>
      <c r="B1028" s="85"/>
      <c r="C1028" s="85"/>
      <c r="D1028" s="85"/>
      <c r="E1028" s="212"/>
      <c r="F1028" s="85"/>
      <c r="G1028" s="85"/>
    </row>
    <row r="1031" spans="1:7">
      <c r="A1031" s="50"/>
      <c r="B1031" s="50"/>
      <c r="C1031" s="50"/>
      <c r="D1031" s="50"/>
      <c r="E1031" s="211"/>
      <c r="F1031" s="50"/>
      <c r="G1031" s="50"/>
    </row>
    <row r="1032" spans="1:7">
      <c r="A1032" s="50"/>
    </row>
    <row r="1033" spans="1:7">
      <c r="A1033" s="50"/>
      <c r="B1033" s="50"/>
      <c r="C1033" s="50"/>
      <c r="D1033" s="50"/>
      <c r="E1033" s="211"/>
      <c r="F1033" s="50"/>
      <c r="G1033" s="50"/>
    </row>
    <row r="1039" spans="1:7">
      <c r="A1039" s="50"/>
      <c r="B1039" s="84"/>
      <c r="C1039" s="84"/>
      <c r="D1039" s="84"/>
      <c r="E1039" s="210"/>
      <c r="F1039" s="84"/>
      <c r="G1039" s="84"/>
    </row>
    <row r="1041" spans="1:7">
      <c r="A1041" s="50"/>
      <c r="B1041" s="50"/>
      <c r="C1041" s="50"/>
      <c r="D1041" s="50"/>
      <c r="E1041" s="211"/>
      <c r="F1041" s="50"/>
      <c r="G1041" s="50"/>
    </row>
    <row r="1046" spans="1:7">
      <c r="A1046" s="83"/>
      <c r="B1046" s="84"/>
      <c r="C1046" s="84"/>
      <c r="D1046" s="84"/>
      <c r="E1046" s="210"/>
      <c r="F1046" s="84"/>
      <c r="G1046" s="84"/>
    </row>
    <row r="1048" spans="1:7">
      <c r="A1048" s="50"/>
      <c r="B1048" s="50"/>
      <c r="C1048" s="50"/>
      <c r="D1048" s="50"/>
      <c r="E1048" s="211"/>
      <c r="F1048" s="50"/>
      <c r="G1048" s="50"/>
    </row>
    <row r="1053" spans="1:7">
      <c r="A1053" s="83"/>
      <c r="B1053" s="84"/>
      <c r="C1053" s="84"/>
      <c r="D1053" s="84"/>
      <c r="E1053" s="210"/>
      <c r="F1053" s="84"/>
      <c r="G1053" s="84"/>
    </row>
    <row r="1055" spans="1:7">
      <c r="A1055" s="50"/>
      <c r="B1055" s="50"/>
      <c r="C1055" s="50"/>
      <c r="D1055" s="50"/>
      <c r="E1055" s="211"/>
      <c r="F1055" s="50"/>
      <c r="G1055" s="50"/>
    </row>
    <row r="1060" spans="1:7">
      <c r="A1060" s="83"/>
      <c r="B1060" s="84"/>
      <c r="C1060" s="84"/>
      <c r="D1060" s="84"/>
      <c r="E1060" s="210"/>
      <c r="F1060" s="84"/>
      <c r="G1060" s="84"/>
    </row>
    <row r="1062" spans="1:7">
      <c r="A1062" s="50"/>
      <c r="B1062" s="50"/>
      <c r="C1062" s="50"/>
      <c r="D1062" s="50"/>
      <c r="E1062" s="211"/>
      <c r="F1062" s="50"/>
      <c r="G1062" s="50"/>
    </row>
    <row r="1068" spans="1:7">
      <c r="A1068" s="83"/>
      <c r="B1068" s="85"/>
      <c r="C1068" s="85"/>
      <c r="D1068" s="85"/>
      <c r="E1068" s="212"/>
      <c r="F1068" s="85"/>
      <c r="G1068" s="85"/>
    </row>
    <row r="1071" spans="1:7">
      <c r="A1071" s="50"/>
      <c r="B1071" s="50"/>
      <c r="C1071" s="50"/>
      <c r="D1071" s="50"/>
      <c r="E1071" s="211"/>
      <c r="F1071" s="50"/>
      <c r="G1071" s="50"/>
    </row>
    <row r="1072" spans="1:7">
      <c r="A1072" s="50"/>
    </row>
    <row r="1073" spans="1:7">
      <c r="A1073" s="50"/>
      <c r="B1073" s="50"/>
      <c r="C1073" s="50"/>
      <c r="D1073" s="50"/>
      <c r="E1073" s="211"/>
      <c r="F1073" s="50"/>
      <c r="G1073" s="50"/>
    </row>
    <row r="1079" spans="1:7">
      <c r="A1079" s="50"/>
      <c r="B1079" s="84"/>
      <c r="C1079" s="84"/>
      <c r="D1079" s="84"/>
      <c r="E1079" s="210"/>
      <c r="F1079" s="84"/>
      <c r="G1079" s="84"/>
    </row>
    <row r="1081" spans="1:7">
      <c r="A1081" s="50"/>
      <c r="B1081" s="50"/>
      <c r="C1081" s="50"/>
      <c r="D1081" s="50"/>
      <c r="E1081" s="211"/>
      <c r="F1081" s="50"/>
      <c r="G1081" s="50"/>
    </row>
    <row r="1086" spans="1:7">
      <c r="A1086" s="83"/>
      <c r="B1086" s="84"/>
      <c r="C1086" s="84"/>
      <c r="D1086" s="84"/>
      <c r="E1086" s="210"/>
      <c r="F1086" s="84"/>
      <c r="G1086" s="84"/>
    </row>
    <row r="1088" spans="1:7">
      <c r="A1088" s="50"/>
      <c r="B1088" s="50"/>
      <c r="C1088" s="50"/>
      <c r="D1088" s="50"/>
      <c r="E1088" s="211"/>
      <c r="F1088" s="50"/>
      <c r="G1088" s="50"/>
    </row>
    <row r="1093" spans="1:7">
      <c r="A1093" s="83"/>
      <c r="B1093" s="84"/>
      <c r="C1093" s="84"/>
      <c r="D1093" s="84"/>
      <c r="E1093" s="210"/>
      <c r="F1093" s="84"/>
      <c r="G1093" s="84"/>
    </row>
    <row r="1095" spans="1:7">
      <c r="A1095" s="50"/>
      <c r="B1095" s="50"/>
      <c r="C1095" s="50"/>
      <c r="D1095" s="50"/>
      <c r="E1095" s="211"/>
      <c r="F1095" s="50"/>
      <c r="G1095" s="50"/>
    </row>
    <row r="1100" spans="1:7">
      <c r="A1100" s="83"/>
      <c r="B1100" s="84"/>
      <c r="C1100" s="84"/>
      <c r="D1100" s="84"/>
      <c r="E1100" s="210"/>
      <c r="F1100" s="84"/>
      <c r="G1100" s="84"/>
    </row>
    <row r="1102" spans="1:7">
      <c r="A1102" s="50"/>
      <c r="B1102" s="50"/>
      <c r="C1102" s="50"/>
      <c r="D1102" s="50"/>
      <c r="E1102" s="211"/>
      <c r="F1102" s="50"/>
      <c r="G1102" s="50"/>
    </row>
    <row r="1108" spans="1:7">
      <c r="A1108" s="83"/>
      <c r="B1108" s="85"/>
      <c r="C1108" s="85"/>
      <c r="D1108" s="85"/>
      <c r="E1108" s="212"/>
      <c r="F1108" s="85"/>
      <c r="G1108" s="85"/>
    </row>
    <row r="1111" spans="1:7">
      <c r="A1111" s="50"/>
      <c r="B1111" s="50"/>
      <c r="C1111" s="50"/>
      <c r="D1111" s="50"/>
      <c r="E1111" s="211"/>
      <c r="F1111" s="50"/>
      <c r="G1111" s="50"/>
    </row>
    <row r="1112" spans="1:7">
      <c r="A1112" s="50"/>
    </row>
    <row r="1113" spans="1:7">
      <c r="A1113" s="50"/>
      <c r="B1113" s="50"/>
      <c r="C1113" s="50"/>
      <c r="D1113" s="50"/>
      <c r="E1113" s="211"/>
      <c r="F1113" s="50"/>
      <c r="G1113" s="50"/>
    </row>
    <row r="1119" spans="1:7">
      <c r="A1119" s="50"/>
      <c r="B1119" s="84"/>
      <c r="C1119" s="84"/>
      <c r="D1119" s="84"/>
      <c r="E1119" s="210"/>
      <c r="F1119" s="84"/>
      <c r="G1119" s="84"/>
    </row>
    <row r="1121" spans="1:7">
      <c r="A1121" s="50"/>
      <c r="B1121" s="50"/>
      <c r="C1121" s="50"/>
      <c r="D1121" s="50"/>
      <c r="E1121" s="211"/>
      <c r="F1121" s="50"/>
      <c r="G1121" s="50"/>
    </row>
    <row r="1126" spans="1:7">
      <c r="A1126" s="83"/>
      <c r="B1126" s="84"/>
      <c r="C1126" s="84"/>
      <c r="D1126" s="84"/>
      <c r="E1126" s="210"/>
      <c r="F1126" s="84"/>
      <c r="G1126" s="84"/>
    </row>
    <row r="1128" spans="1:7">
      <c r="A1128" s="50"/>
      <c r="B1128" s="50"/>
      <c r="C1128" s="50"/>
      <c r="D1128" s="50"/>
      <c r="E1128" s="211"/>
      <c r="F1128" s="50"/>
      <c r="G1128" s="50"/>
    </row>
    <row r="1133" spans="1:7">
      <c r="A1133" s="83"/>
      <c r="B1133" s="84"/>
      <c r="C1133" s="84"/>
      <c r="D1133" s="84"/>
      <c r="E1133" s="210"/>
      <c r="F1133" s="84"/>
      <c r="G1133" s="84"/>
    </row>
    <row r="1135" spans="1:7">
      <c r="A1135" s="50"/>
      <c r="B1135" s="50"/>
      <c r="C1135" s="50"/>
      <c r="D1135" s="50"/>
      <c r="E1135" s="211"/>
      <c r="F1135" s="50"/>
      <c r="G1135" s="50"/>
    </row>
    <row r="1140" spans="1:7">
      <c r="A1140" s="83"/>
      <c r="B1140" s="84"/>
      <c r="C1140" s="84"/>
      <c r="D1140" s="84"/>
      <c r="E1140" s="210"/>
      <c r="F1140" s="84"/>
      <c r="G1140" s="84"/>
    </row>
    <row r="1142" spans="1:7">
      <c r="A1142" s="50"/>
      <c r="B1142" s="50"/>
      <c r="C1142" s="50"/>
      <c r="D1142" s="50"/>
      <c r="E1142" s="211"/>
      <c r="F1142" s="50"/>
      <c r="G1142" s="50"/>
    </row>
    <row r="1148" spans="1:7">
      <c r="A1148" s="83"/>
      <c r="B1148" s="85"/>
      <c r="C1148" s="85"/>
      <c r="D1148" s="85"/>
      <c r="E1148" s="212"/>
      <c r="F1148" s="85"/>
      <c r="G1148" s="85"/>
    </row>
    <row r="1151" spans="1:7">
      <c r="A1151" s="50"/>
      <c r="B1151" s="50"/>
      <c r="C1151" s="50"/>
      <c r="D1151" s="50"/>
      <c r="E1151" s="211"/>
      <c r="F1151" s="50"/>
      <c r="G1151" s="50"/>
    </row>
    <row r="1152" spans="1:7">
      <c r="A1152" s="50"/>
    </row>
    <row r="1153" spans="1:7">
      <c r="A1153" s="50"/>
      <c r="B1153" s="50"/>
      <c r="C1153" s="50"/>
      <c r="D1153" s="50"/>
      <c r="E1153" s="211"/>
      <c r="F1153" s="50"/>
      <c r="G1153" s="50"/>
    </row>
    <row r="1159" spans="1:7">
      <c r="A1159" s="50"/>
      <c r="B1159" s="84"/>
      <c r="C1159" s="84"/>
      <c r="D1159" s="84"/>
      <c r="E1159" s="210"/>
      <c r="F1159" s="84"/>
      <c r="G1159" s="84"/>
    </row>
    <row r="1161" spans="1:7">
      <c r="A1161" s="50"/>
      <c r="B1161" s="50"/>
      <c r="C1161" s="50"/>
      <c r="D1161" s="50"/>
      <c r="E1161" s="211"/>
      <c r="F1161" s="50"/>
      <c r="G1161" s="50"/>
    </row>
    <row r="1166" spans="1:7">
      <c r="A1166" s="83"/>
      <c r="B1166" s="84"/>
      <c r="C1166" s="84"/>
      <c r="D1166" s="84"/>
      <c r="E1166" s="210"/>
      <c r="F1166" s="84"/>
      <c r="G1166" s="84"/>
    </row>
    <row r="1168" spans="1:7">
      <c r="A1168" s="50"/>
      <c r="B1168" s="50"/>
      <c r="C1168" s="50"/>
      <c r="D1168" s="50"/>
      <c r="E1168" s="211"/>
      <c r="F1168" s="50"/>
      <c r="G1168" s="50"/>
    </row>
    <row r="1173" spans="1:7">
      <c r="A1173" s="83"/>
      <c r="B1173" s="84"/>
      <c r="C1173" s="84"/>
      <c r="D1173" s="84"/>
      <c r="E1173" s="210"/>
      <c r="F1173" s="84"/>
      <c r="G1173" s="84"/>
    </row>
    <row r="1175" spans="1:7">
      <c r="A1175" s="50"/>
      <c r="B1175" s="50"/>
      <c r="C1175" s="50"/>
      <c r="D1175" s="50"/>
      <c r="E1175" s="211"/>
      <c r="F1175" s="50"/>
      <c r="G1175" s="50"/>
    </row>
    <row r="1180" spans="1:7">
      <c r="A1180" s="83"/>
      <c r="B1180" s="84"/>
      <c r="C1180" s="84"/>
      <c r="D1180" s="84"/>
      <c r="E1180" s="210"/>
      <c r="F1180" s="84"/>
      <c r="G1180" s="84"/>
    </row>
    <row r="1182" spans="1:7">
      <c r="A1182" s="50"/>
      <c r="B1182" s="50"/>
      <c r="C1182" s="50"/>
      <c r="D1182" s="50"/>
      <c r="E1182" s="211"/>
      <c r="F1182" s="50"/>
      <c r="G1182" s="50"/>
    </row>
    <row r="1188" spans="1:7">
      <c r="A1188" s="83"/>
      <c r="B1188" s="85"/>
      <c r="C1188" s="85"/>
      <c r="D1188" s="85"/>
      <c r="E1188" s="212"/>
      <c r="F1188" s="85"/>
      <c r="G1188" s="85"/>
    </row>
    <row r="1191" spans="1:7">
      <c r="A1191" s="50"/>
      <c r="B1191" s="50"/>
      <c r="C1191" s="50"/>
      <c r="D1191" s="50"/>
      <c r="E1191" s="211"/>
      <c r="F1191" s="50"/>
      <c r="G1191" s="50"/>
    </row>
    <row r="1192" spans="1:7">
      <c r="A1192" s="50"/>
    </row>
    <row r="1193" spans="1:7">
      <c r="A1193" s="50"/>
      <c r="B1193" s="50"/>
      <c r="C1193" s="50"/>
      <c r="D1193" s="50"/>
      <c r="E1193" s="211"/>
      <c r="F1193" s="50"/>
      <c r="G1193" s="50"/>
    </row>
    <row r="1199" spans="1:7">
      <c r="A1199" s="50"/>
      <c r="B1199" s="84"/>
      <c r="C1199" s="84"/>
      <c r="D1199" s="84"/>
      <c r="E1199" s="210"/>
      <c r="F1199" s="84"/>
      <c r="G1199" s="84"/>
    </row>
    <row r="1201" spans="1:7">
      <c r="A1201" s="50"/>
      <c r="B1201" s="50"/>
      <c r="C1201" s="50"/>
      <c r="D1201" s="50"/>
      <c r="E1201" s="211"/>
      <c r="F1201" s="50"/>
      <c r="G1201" s="50"/>
    </row>
    <row r="1206" spans="1:7">
      <c r="A1206" s="83"/>
      <c r="B1206" s="84"/>
      <c r="C1206" s="84"/>
      <c r="D1206" s="84"/>
      <c r="E1206" s="210"/>
      <c r="F1206" s="84"/>
      <c r="G1206" s="84"/>
    </row>
    <row r="1208" spans="1:7">
      <c r="A1208" s="50"/>
      <c r="B1208" s="50"/>
      <c r="C1208" s="50"/>
      <c r="D1208" s="50"/>
      <c r="E1208" s="211"/>
      <c r="F1208" s="50"/>
      <c r="G1208" s="50"/>
    </row>
    <row r="1213" spans="1:7">
      <c r="A1213" s="83"/>
      <c r="B1213" s="84"/>
      <c r="C1213" s="84"/>
      <c r="D1213" s="84"/>
      <c r="E1213" s="210"/>
      <c r="F1213" s="84"/>
      <c r="G1213" s="84"/>
    </row>
    <row r="1215" spans="1:7">
      <c r="A1215" s="50"/>
      <c r="B1215" s="50"/>
      <c r="C1215" s="50"/>
      <c r="D1215" s="50"/>
      <c r="E1215" s="211"/>
      <c r="F1215" s="50"/>
      <c r="G1215" s="50"/>
    </row>
    <row r="1220" spans="1:7">
      <c r="A1220" s="83"/>
      <c r="B1220" s="84"/>
      <c r="C1220" s="84"/>
      <c r="D1220" s="84"/>
      <c r="E1220" s="210"/>
      <c r="F1220" s="84"/>
      <c r="G1220" s="84"/>
    </row>
    <row r="1222" spans="1:7">
      <c r="A1222" s="50"/>
      <c r="B1222" s="50"/>
      <c r="C1222" s="50"/>
      <c r="D1222" s="50"/>
      <c r="E1222" s="211"/>
      <c r="F1222" s="50"/>
      <c r="G1222" s="50"/>
    </row>
    <row r="1228" spans="1:7">
      <c r="A1228" s="83"/>
      <c r="B1228" s="85"/>
      <c r="C1228" s="85"/>
      <c r="D1228" s="85"/>
      <c r="E1228" s="212"/>
      <c r="F1228" s="85"/>
      <c r="G1228" s="85"/>
    </row>
    <row r="1231" spans="1:7">
      <c r="A1231" s="50"/>
      <c r="B1231" s="50"/>
      <c r="C1231" s="50"/>
      <c r="D1231" s="50"/>
      <c r="E1231" s="211"/>
      <c r="F1231" s="50"/>
      <c r="G1231" s="50"/>
    </row>
    <row r="1232" spans="1:7">
      <c r="A1232" s="50"/>
    </row>
    <row r="1233" spans="1:7">
      <c r="A1233" s="50"/>
      <c r="B1233" s="50"/>
      <c r="C1233" s="50"/>
      <c r="D1233" s="50"/>
      <c r="E1233" s="211"/>
      <c r="F1233" s="50"/>
      <c r="G1233" s="50"/>
    </row>
    <row r="1239" spans="1:7">
      <c r="A1239" s="50"/>
      <c r="B1239" s="84"/>
      <c r="C1239" s="84"/>
      <c r="D1239" s="84"/>
      <c r="E1239" s="210"/>
      <c r="F1239" s="84"/>
      <c r="G1239" s="84"/>
    </row>
    <row r="1241" spans="1:7">
      <c r="A1241" s="50"/>
      <c r="B1241" s="50"/>
      <c r="C1241" s="50"/>
      <c r="D1241" s="50"/>
      <c r="E1241" s="211"/>
      <c r="F1241" s="50"/>
      <c r="G1241" s="50"/>
    </row>
    <row r="1246" spans="1:7">
      <c r="A1246" s="83"/>
      <c r="B1246" s="84"/>
      <c r="C1246" s="84"/>
      <c r="D1246" s="84"/>
      <c r="E1246" s="210"/>
      <c r="F1246" s="84"/>
      <c r="G1246" s="84"/>
    </row>
    <row r="1248" spans="1:7">
      <c r="A1248" s="50"/>
      <c r="B1248" s="50"/>
      <c r="C1248" s="50"/>
      <c r="D1248" s="50"/>
      <c r="E1248" s="211"/>
      <c r="F1248" s="50"/>
      <c r="G1248" s="50"/>
    </row>
    <row r="1253" spans="1:7">
      <c r="A1253" s="83"/>
      <c r="B1253" s="84"/>
      <c r="C1253" s="84"/>
      <c r="D1253" s="84"/>
      <c r="E1253" s="210"/>
      <c r="F1253" s="84"/>
      <c r="G1253" s="84"/>
    </row>
    <row r="1255" spans="1:7">
      <c r="A1255" s="50"/>
      <c r="B1255" s="50"/>
      <c r="C1255" s="50"/>
      <c r="D1255" s="50"/>
      <c r="E1255" s="211"/>
      <c r="F1255" s="50"/>
      <c r="G1255" s="50"/>
    </row>
    <row r="1260" spans="1:7">
      <c r="A1260" s="83"/>
      <c r="B1260" s="84"/>
      <c r="C1260" s="84"/>
      <c r="D1260" s="84"/>
      <c r="E1260" s="210"/>
      <c r="F1260" s="84"/>
      <c r="G1260" s="84"/>
    </row>
    <row r="1262" spans="1:7">
      <c r="A1262" s="50"/>
      <c r="B1262" s="50"/>
      <c r="C1262" s="50"/>
      <c r="D1262" s="50"/>
      <c r="E1262" s="211"/>
      <c r="F1262" s="50"/>
      <c r="G1262" s="50"/>
    </row>
    <row r="1268" spans="1:7">
      <c r="A1268" s="83"/>
      <c r="B1268" s="85"/>
      <c r="C1268" s="85"/>
      <c r="D1268" s="85"/>
      <c r="E1268" s="212"/>
      <c r="F1268" s="85"/>
      <c r="G1268" s="85"/>
    </row>
    <row r="1271" spans="1:7">
      <c r="A1271" s="50"/>
      <c r="B1271" s="50"/>
      <c r="C1271" s="50"/>
      <c r="D1271" s="50"/>
      <c r="E1271" s="211"/>
      <c r="F1271" s="50"/>
      <c r="G1271" s="50"/>
    </row>
    <row r="1272" spans="1:7">
      <c r="A1272" s="50"/>
    </row>
    <row r="1273" spans="1:7">
      <c r="A1273" s="50"/>
      <c r="B1273" s="50"/>
      <c r="C1273" s="50"/>
      <c r="D1273" s="50"/>
      <c r="E1273" s="211"/>
      <c r="F1273" s="50"/>
      <c r="G1273" s="50"/>
    </row>
    <row r="1279" spans="1:7">
      <c r="A1279" s="50"/>
      <c r="B1279" s="84"/>
      <c r="C1279" s="84"/>
      <c r="D1279" s="84"/>
      <c r="E1279" s="210"/>
      <c r="F1279" s="84"/>
      <c r="G1279" s="84"/>
    </row>
    <row r="1281" spans="1:7">
      <c r="A1281" s="50"/>
      <c r="B1281" s="50"/>
      <c r="C1281" s="50"/>
      <c r="D1281" s="50"/>
      <c r="E1281" s="211"/>
      <c r="F1281" s="50"/>
      <c r="G1281" s="50"/>
    </row>
    <row r="1286" spans="1:7">
      <c r="A1286" s="83"/>
      <c r="B1286" s="84"/>
      <c r="C1286" s="84"/>
      <c r="D1286" s="84"/>
      <c r="E1286" s="210"/>
      <c r="F1286" s="84"/>
      <c r="G1286" s="84"/>
    </row>
    <row r="1288" spans="1:7">
      <c r="A1288" s="50"/>
      <c r="B1288" s="50"/>
      <c r="C1288" s="50"/>
      <c r="D1288" s="50"/>
      <c r="E1288" s="211"/>
      <c r="F1288" s="50"/>
      <c r="G1288" s="50"/>
    </row>
    <row r="1293" spans="1:7">
      <c r="A1293" s="83"/>
      <c r="B1293" s="84"/>
      <c r="C1293" s="84"/>
      <c r="D1293" s="84"/>
      <c r="E1293" s="210"/>
      <c r="F1293" s="84"/>
      <c r="G1293" s="84"/>
    </row>
    <row r="1295" spans="1:7">
      <c r="A1295" s="50"/>
      <c r="B1295" s="50"/>
      <c r="C1295" s="50"/>
      <c r="D1295" s="50"/>
      <c r="E1295" s="211"/>
      <c r="F1295" s="50"/>
      <c r="G1295" s="50"/>
    </row>
    <row r="1300" spans="1:7">
      <c r="A1300" s="83"/>
      <c r="B1300" s="84"/>
      <c r="C1300" s="84"/>
      <c r="D1300" s="84"/>
      <c r="E1300" s="210"/>
      <c r="F1300" s="84"/>
      <c r="G1300" s="84"/>
    </row>
    <row r="1302" spans="1:7">
      <c r="A1302" s="50"/>
      <c r="B1302" s="50"/>
      <c r="C1302" s="50"/>
      <c r="D1302" s="50"/>
      <c r="E1302" s="211"/>
      <c r="F1302" s="50"/>
      <c r="G1302" s="50"/>
    </row>
    <row r="1308" spans="1:7">
      <c r="A1308" s="83"/>
      <c r="B1308" s="85"/>
      <c r="C1308" s="85"/>
      <c r="D1308" s="85"/>
      <c r="E1308" s="212"/>
      <c r="F1308" s="85"/>
      <c r="G1308" s="85"/>
    </row>
    <row r="1311" spans="1:7">
      <c r="A1311" s="50"/>
      <c r="B1311" s="50"/>
      <c r="C1311" s="50"/>
      <c r="D1311" s="50"/>
      <c r="E1311" s="211"/>
      <c r="F1311" s="50"/>
      <c r="G1311" s="50"/>
    </row>
    <row r="1312" spans="1:7">
      <c r="A1312" s="50"/>
    </row>
    <row r="1313" spans="1:7">
      <c r="A1313" s="50"/>
      <c r="B1313" s="50"/>
      <c r="C1313" s="50"/>
      <c r="D1313" s="50"/>
      <c r="E1313" s="211"/>
      <c r="F1313" s="50"/>
      <c r="G1313" s="50"/>
    </row>
    <row r="1319" spans="1:7">
      <c r="A1319" s="50"/>
      <c r="B1319" s="84"/>
      <c r="C1319" s="84"/>
      <c r="D1319" s="84"/>
      <c r="E1319" s="210"/>
      <c r="F1319" s="84"/>
      <c r="G1319" s="84"/>
    </row>
    <row r="1321" spans="1:7">
      <c r="A1321" s="50"/>
      <c r="B1321" s="50"/>
      <c r="C1321" s="50"/>
      <c r="D1321" s="50"/>
      <c r="E1321" s="211"/>
      <c r="F1321" s="50"/>
      <c r="G1321" s="50"/>
    </row>
    <row r="1326" spans="1:7">
      <c r="A1326" s="83"/>
      <c r="B1326" s="84"/>
      <c r="C1326" s="84"/>
      <c r="D1326" s="84"/>
      <c r="E1326" s="210"/>
      <c r="F1326" s="84"/>
      <c r="G1326" s="84"/>
    </row>
    <row r="1328" spans="1:7">
      <c r="A1328" s="50"/>
      <c r="B1328" s="50"/>
      <c r="C1328" s="50"/>
      <c r="D1328" s="50"/>
      <c r="E1328" s="211"/>
      <c r="F1328" s="50"/>
      <c r="G1328" s="50"/>
    </row>
    <row r="1333" spans="1:7">
      <c r="A1333" s="83"/>
      <c r="B1333" s="84"/>
      <c r="C1333" s="84"/>
      <c r="D1333" s="84"/>
      <c r="E1333" s="210"/>
      <c r="F1333" s="84"/>
      <c r="G1333" s="84"/>
    </row>
    <row r="1335" spans="1:7">
      <c r="A1335" s="50"/>
      <c r="B1335" s="50"/>
      <c r="C1335" s="50"/>
      <c r="D1335" s="50"/>
      <c r="E1335" s="211"/>
      <c r="F1335" s="50"/>
      <c r="G1335" s="50"/>
    </row>
    <row r="1340" spans="1:7">
      <c r="A1340" s="83"/>
      <c r="B1340" s="84"/>
      <c r="C1340" s="84"/>
      <c r="D1340" s="84"/>
      <c r="E1340" s="210"/>
      <c r="F1340" s="84"/>
      <c r="G1340" s="84"/>
    </row>
    <row r="1342" spans="1:7">
      <c r="A1342" s="50"/>
      <c r="B1342" s="50"/>
      <c r="C1342" s="50"/>
      <c r="D1342" s="50"/>
      <c r="E1342" s="211"/>
      <c r="F1342" s="50"/>
      <c r="G1342" s="50"/>
    </row>
    <row r="1348" spans="1:7">
      <c r="A1348" s="83"/>
      <c r="B1348" s="85"/>
      <c r="C1348" s="85"/>
      <c r="D1348" s="85"/>
      <c r="E1348" s="212"/>
      <c r="F1348" s="85"/>
      <c r="G1348" s="85"/>
    </row>
    <row r="1351" spans="1:7">
      <c r="A1351" s="50"/>
      <c r="B1351" s="50"/>
      <c r="C1351" s="50"/>
      <c r="D1351" s="50"/>
      <c r="E1351" s="211"/>
      <c r="F1351" s="50"/>
      <c r="G1351" s="50"/>
    </row>
    <row r="1352" spans="1:7">
      <c r="A1352" s="50"/>
    </row>
    <row r="1353" spans="1:7">
      <c r="A1353" s="50"/>
      <c r="B1353" s="50"/>
      <c r="C1353" s="50"/>
      <c r="D1353" s="50"/>
      <c r="E1353" s="211"/>
      <c r="F1353" s="50"/>
      <c r="G1353" s="50"/>
    </row>
    <row r="1359" spans="1:7">
      <c r="A1359" s="50"/>
      <c r="B1359" s="84"/>
      <c r="C1359" s="84"/>
      <c r="D1359" s="84"/>
      <c r="E1359" s="210"/>
      <c r="F1359" s="84"/>
      <c r="G1359" s="84"/>
    </row>
    <row r="1361" spans="1:7">
      <c r="A1361" s="50"/>
      <c r="B1361" s="50"/>
      <c r="C1361" s="50"/>
      <c r="D1361" s="50"/>
      <c r="E1361" s="211"/>
      <c r="F1361" s="50"/>
      <c r="G1361" s="50"/>
    </row>
    <row r="1366" spans="1:7">
      <c r="A1366" s="83"/>
      <c r="B1366" s="84"/>
      <c r="C1366" s="84"/>
      <c r="D1366" s="84"/>
      <c r="E1366" s="210"/>
      <c r="F1366" s="84"/>
      <c r="G1366" s="84"/>
    </row>
    <row r="1368" spans="1:7">
      <c r="A1368" s="50"/>
      <c r="B1368" s="50"/>
      <c r="C1368" s="50"/>
      <c r="D1368" s="50"/>
      <c r="E1368" s="211"/>
      <c r="F1368" s="50"/>
      <c r="G1368" s="50"/>
    </row>
    <row r="1373" spans="1:7">
      <c r="A1373" s="83"/>
      <c r="B1373" s="84"/>
      <c r="C1373" s="84"/>
      <c r="D1373" s="84"/>
      <c r="E1373" s="210"/>
      <c r="F1373" s="84"/>
      <c r="G1373" s="84"/>
    </row>
    <row r="1375" spans="1:7">
      <c r="A1375" s="50"/>
      <c r="B1375" s="50"/>
      <c r="C1375" s="50"/>
      <c r="D1375" s="50"/>
      <c r="E1375" s="211"/>
      <c r="F1375" s="50"/>
      <c r="G1375" s="50"/>
    </row>
    <row r="1380" spans="1:7">
      <c r="A1380" s="83"/>
      <c r="B1380" s="84"/>
      <c r="C1380" s="84"/>
      <c r="D1380" s="84"/>
      <c r="E1380" s="210"/>
      <c r="F1380" s="84"/>
      <c r="G1380" s="84"/>
    </row>
    <row r="1382" spans="1:7">
      <c r="A1382" s="50"/>
      <c r="B1382" s="50"/>
      <c r="C1382" s="50"/>
      <c r="D1382" s="50"/>
      <c r="E1382" s="211"/>
      <c r="F1382" s="50"/>
      <c r="G1382" s="50"/>
    </row>
    <row r="1388" spans="1:7">
      <c r="A1388" s="83"/>
      <c r="B1388" s="85"/>
      <c r="C1388" s="85"/>
      <c r="D1388" s="85"/>
      <c r="E1388" s="212"/>
      <c r="F1388" s="85"/>
      <c r="G1388" s="85"/>
    </row>
    <row r="1391" spans="1:7">
      <c r="A1391" s="50"/>
      <c r="B1391" s="50"/>
      <c r="C1391" s="50"/>
      <c r="D1391" s="50"/>
      <c r="E1391" s="211"/>
      <c r="F1391" s="50"/>
      <c r="G1391" s="50"/>
    </row>
    <row r="1392" spans="1:7">
      <c r="A1392" s="50"/>
    </row>
    <row r="1393" spans="1:7">
      <c r="A1393" s="50"/>
      <c r="B1393" s="50"/>
      <c r="C1393" s="50"/>
      <c r="D1393" s="50"/>
      <c r="E1393" s="211"/>
      <c r="F1393" s="50"/>
      <c r="G1393" s="50"/>
    </row>
    <row r="1399" spans="1:7">
      <c r="A1399" s="50"/>
      <c r="B1399" s="84"/>
      <c r="C1399" s="84"/>
      <c r="D1399" s="84"/>
      <c r="E1399" s="210"/>
      <c r="F1399" s="84"/>
      <c r="G1399" s="84"/>
    </row>
    <row r="1401" spans="1:7">
      <c r="A1401" s="50"/>
      <c r="B1401" s="50"/>
      <c r="C1401" s="50"/>
      <c r="D1401" s="50"/>
      <c r="E1401" s="211"/>
      <c r="F1401" s="50"/>
      <c r="G1401" s="50"/>
    </row>
    <row r="1406" spans="1:7">
      <c r="A1406" s="83"/>
      <c r="B1406" s="84"/>
      <c r="C1406" s="84"/>
      <c r="D1406" s="84"/>
      <c r="E1406" s="210"/>
      <c r="F1406" s="84"/>
      <c r="G1406" s="84"/>
    </row>
    <row r="1408" spans="1:7">
      <c r="A1408" s="50"/>
      <c r="B1408" s="50"/>
      <c r="C1408" s="50"/>
      <c r="D1408" s="50"/>
      <c r="E1408" s="211"/>
      <c r="F1408" s="50"/>
      <c r="G1408" s="50"/>
    </row>
    <row r="1413" spans="1:7">
      <c r="A1413" s="83"/>
      <c r="B1413" s="84"/>
      <c r="C1413" s="84"/>
      <c r="D1413" s="84"/>
      <c r="E1413" s="210"/>
      <c r="F1413" s="84"/>
      <c r="G1413" s="84"/>
    </row>
    <row r="1415" spans="1:7">
      <c r="A1415" s="50"/>
      <c r="B1415" s="50"/>
      <c r="C1415" s="50"/>
      <c r="D1415" s="50"/>
      <c r="E1415" s="211"/>
      <c r="F1415" s="50"/>
      <c r="G1415" s="50"/>
    </row>
    <row r="1420" spans="1:7">
      <c r="A1420" s="83"/>
      <c r="B1420" s="84"/>
      <c r="C1420" s="84"/>
      <c r="D1420" s="84"/>
      <c r="E1420" s="210"/>
      <c r="F1420" s="84"/>
      <c r="G1420" s="84"/>
    </row>
    <row r="1422" spans="1:7">
      <c r="A1422" s="50"/>
      <c r="B1422" s="50"/>
      <c r="C1422" s="50"/>
      <c r="D1422" s="50"/>
      <c r="E1422" s="211"/>
      <c r="F1422" s="50"/>
      <c r="G1422" s="50"/>
    </row>
    <row r="1428" spans="1:7">
      <c r="A1428" s="83"/>
      <c r="B1428" s="85"/>
      <c r="C1428" s="85"/>
      <c r="D1428" s="85"/>
      <c r="E1428" s="212"/>
      <c r="F1428" s="85"/>
      <c r="G1428" s="85"/>
    </row>
    <row r="1431" spans="1:7">
      <c r="A1431" s="50"/>
      <c r="B1431" s="50"/>
      <c r="C1431" s="50"/>
      <c r="D1431" s="50"/>
      <c r="E1431" s="211"/>
      <c r="F1431" s="50"/>
      <c r="G1431" s="50"/>
    </row>
    <row r="1432" spans="1:7">
      <c r="A1432" s="50"/>
    </row>
    <row r="1433" spans="1:7">
      <c r="A1433" s="50"/>
      <c r="B1433" s="50"/>
      <c r="C1433" s="50"/>
      <c r="D1433" s="50"/>
      <c r="E1433" s="211"/>
      <c r="F1433" s="50"/>
      <c r="G1433" s="50"/>
    </row>
    <row r="1439" spans="1:7">
      <c r="A1439" s="50"/>
      <c r="B1439" s="84"/>
      <c r="C1439" s="84"/>
      <c r="D1439" s="84"/>
      <c r="E1439" s="210"/>
      <c r="F1439" s="84"/>
      <c r="G1439" s="84"/>
    </row>
    <row r="1441" spans="1:7">
      <c r="A1441" s="50"/>
      <c r="B1441" s="50"/>
      <c r="C1441" s="50"/>
      <c r="D1441" s="50"/>
      <c r="E1441" s="211"/>
      <c r="F1441" s="50"/>
      <c r="G1441" s="50"/>
    </row>
    <row r="1446" spans="1:7">
      <c r="A1446" s="83"/>
      <c r="B1446" s="84"/>
      <c r="C1446" s="84"/>
      <c r="D1446" s="84"/>
      <c r="E1446" s="210"/>
      <c r="F1446" s="84"/>
      <c r="G1446" s="84"/>
    </row>
    <row r="1448" spans="1:7">
      <c r="A1448" s="50"/>
      <c r="B1448" s="50"/>
      <c r="C1448" s="50"/>
      <c r="D1448" s="50"/>
      <c r="E1448" s="211"/>
      <c r="F1448" s="50"/>
      <c r="G1448" s="50"/>
    </row>
    <row r="1453" spans="1:7">
      <c r="A1453" s="83"/>
      <c r="B1453" s="84"/>
      <c r="C1453" s="84"/>
      <c r="D1453" s="84"/>
      <c r="E1453" s="210"/>
      <c r="F1453" s="84"/>
      <c r="G1453" s="84"/>
    </row>
    <row r="1455" spans="1:7">
      <c r="A1455" s="50"/>
      <c r="B1455" s="50"/>
      <c r="C1455" s="50"/>
      <c r="D1455" s="50"/>
      <c r="E1455" s="211"/>
      <c r="F1455" s="50"/>
      <c r="G1455" s="50"/>
    </row>
    <row r="1460" spans="1:7">
      <c r="A1460" s="83"/>
      <c r="B1460" s="84"/>
      <c r="C1460" s="84"/>
      <c r="D1460" s="84"/>
      <c r="E1460" s="210"/>
      <c r="F1460" s="84"/>
      <c r="G1460" s="84"/>
    </row>
    <row r="1462" spans="1:7">
      <c r="A1462" s="50"/>
      <c r="B1462" s="50"/>
      <c r="C1462" s="50"/>
      <c r="D1462" s="50"/>
      <c r="E1462" s="211"/>
      <c r="F1462" s="50"/>
      <c r="G1462" s="50"/>
    </row>
    <row r="1468" spans="1:7">
      <c r="A1468" s="83"/>
      <c r="B1468" s="85"/>
      <c r="C1468" s="85"/>
      <c r="D1468" s="85"/>
      <c r="E1468" s="212"/>
      <c r="F1468" s="85"/>
      <c r="G1468" s="85"/>
    </row>
    <row r="1471" spans="1:7">
      <c r="A1471" s="50"/>
      <c r="B1471" s="50"/>
      <c r="C1471" s="50"/>
      <c r="D1471" s="50"/>
      <c r="E1471" s="211"/>
      <c r="F1471" s="50"/>
      <c r="G1471" s="50"/>
    </row>
    <row r="1472" spans="1:7">
      <c r="A1472" s="50"/>
    </row>
    <row r="1473" spans="1:7">
      <c r="A1473" s="50"/>
      <c r="B1473" s="50"/>
      <c r="C1473" s="50"/>
      <c r="D1473" s="50"/>
      <c r="E1473" s="211"/>
      <c r="F1473" s="50"/>
      <c r="G1473" s="50"/>
    </row>
    <row r="1479" spans="1:7">
      <c r="A1479" s="50"/>
      <c r="B1479" s="84"/>
      <c r="C1479" s="84"/>
      <c r="D1479" s="84"/>
      <c r="E1479" s="210"/>
      <c r="F1479" s="84"/>
      <c r="G1479" s="84"/>
    </row>
    <row r="1481" spans="1:7">
      <c r="A1481" s="50"/>
      <c r="B1481" s="50"/>
      <c r="C1481" s="50"/>
      <c r="D1481" s="50"/>
      <c r="E1481" s="211"/>
      <c r="F1481" s="50"/>
      <c r="G1481" s="50"/>
    </row>
    <row r="1486" spans="1:7">
      <c r="A1486" s="83"/>
      <c r="B1486" s="84"/>
      <c r="C1486" s="84"/>
      <c r="D1486" s="84"/>
      <c r="E1486" s="210"/>
      <c r="F1486" s="84"/>
      <c r="G1486" s="84"/>
    </row>
    <row r="1488" spans="1:7">
      <c r="A1488" s="50"/>
      <c r="B1488" s="50"/>
      <c r="C1488" s="50"/>
      <c r="D1488" s="50"/>
      <c r="E1488" s="211"/>
      <c r="F1488" s="50"/>
      <c r="G1488" s="50"/>
    </row>
    <row r="1493" spans="1:7">
      <c r="A1493" s="83"/>
      <c r="B1493" s="84"/>
      <c r="C1493" s="84"/>
      <c r="D1493" s="84"/>
      <c r="E1493" s="210"/>
      <c r="F1493" s="84"/>
      <c r="G1493" s="84"/>
    </row>
    <row r="1495" spans="1:7">
      <c r="A1495" s="50"/>
      <c r="B1495" s="50"/>
      <c r="C1495" s="50"/>
      <c r="D1495" s="50"/>
      <c r="E1495" s="211"/>
      <c r="F1495" s="50"/>
      <c r="G1495" s="50"/>
    </row>
    <row r="1500" spans="1:7">
      <c r="A1500" s="83"/>
      <c r="B1500" s="84"/>
      <c r="C1500" s="84"/>
      <c r="D1500" s="84"/>
      <c r="E1500" s="210"/>
      <c r="F1500" s="84"/>
      <c r="G1500" s="84"/>
    </row>
    <row r="1502" spans="1:7">
      <c r="A1502" s="50"/>
      <c r="B1502" s="50"/>
      <c r="C1502" s="50"/>
      <c r="D1502" s="50"/>
      <c r="E1502" s="211"/>
      <c r="F1502" s="50"/>
      <c r="G1502" s="50"/>
    </row>
    <row r="1508" spans="1:7">
      <c r="A1508" s="83"/>
      <c r="B1508" s="85"/>
      <c r="C1508" s="85"/>
      <c r="D1508" s="85"/>
      <c r="E1508" s="212"/>
      <c r="F1508" s="85"/>
      <c r="G1508" s="85"/>
    </row>
    <row r="1511" spans="1:7">
      <c r="A1511" s="50"/>
      <c r="B1511" s="50"/>
      <c r="C1511" s="50"/>
      <c r="D1511" s="50"/>
      <c r="E1511" s="211"/>
      <c r="F1511" s="50"/>
      <c r="G1511" s="50"/>
    </row>
    <row r="1512" spans="1:7">
      <c r="A1512" s="50"/>
    </row>
    <row r="1513" spans="1:7">
      <c r="A1513" s="50"/>
      <c r="B1513" s="50"/>
      <c r="C1513" s="50"/>
      <c r="D1513" s="50"/>
      <c r="E1513" s="211"/>
      <c r="F1513" s="50"/>
      <c r="G1513" s="50"/>
    </row>
    <row r="1519" spans="1:7">
      <c r="A1519" s="50"/>
      <c r="B1519" s="84"/>
      <c r="C1519" s="84"/>
      <c r="D1519" s="84"/>
      <c r="E1519" s="210"/>
      <c r="F1519" s="84"/>
      <c r="G1519" s="84"/>
    </row>
    <row r="1521" spans="1:7">
      <c r="A1521" s="50"/>
      <c r="B1521" s="50"/>
      <c r="C1521" s="50"/>
      <c r="D1521" s="50"/>
      <c r="E1521" s="211"/>
      <c r="F1521" s="50"/>
      <c r="G1521" s="50"/>
    </row>
    <row r="1526" spans="1:7">
      <c r="A1526" s="83"/>
      <c r="B1526" s="84"/>
      <c r="C1526" s="84"/>
      <c r="D1526" s="84"/>
      <c r="E1526" s="210"/>
      <c r="F1526" s="84"/>
      <c r="G1526" s="84"/>
    </row>
    <row r="1528" spans="1:7">
      <c r="A1528" s="50"/>
      <c r="B1528" s="50"/>
      <c r="C1528" s="50"/>
      <c r="D1528" s="50"/>
      <c r="E1528" s="211"/>
      <c r="F1528" s="50"/>
      <c r="G1528" s="50"/>
    </row>
    <row r="1533" spans="1:7">
      <c r="A1533" s="83"/>
      <c r="B1533" s="84"/>
      <c r="C1533" s="84"/>
      <c r="D1533" s="84"/>
      <c r="E1533" s="210"/>
      <c r="F1533" s="84"/>
      <c r="G1533" s="84"/>
    </row>
    <row r="1535" spans="1:7">
      <c r="A1535" s="50"/>
      <c r="B1535" s="50"/>
      <c r="C1535" s="50"/>
      <c r="D1535" s="50"/>
      <c r="E1535" s="211"/>
      <c r="F1535" s="50"/>
      <c r="G1535" s="50"/>
    </row>
    <row r="1540" spans="1:7">
      <c r="A1540" s="83"/>
      <c r="B1540" s="84"/>
      <c r="C1540" s="84"/>
      <c r="D1540" s="84"/>
      <c r="E1540" s="210"/>
      <c r="F1540" s="84"/>
      <c r="G1540" s="84"/>
    </row>
    <row r="1542" spans="1:7">
      <c r="A1542" s="50"/>
      <c r="B1542" s="50"/>
      <c r="C1542" s="50"/>
      <c r="D1542" s="50"/>
      <c r="E1542" s="211"/>
      <c r="F1542" s="50"/>
      <c r="G1542" s="50"/>
    </row>
    <row r="1548" spans="1:7">
      <c r="A1548" s="83"/>
      <c r="B1548" s="85"/>
      <c r="C1548" s="85"/>
      <c r="D1548" s="85"/>
      <c r="E1548" s="212"/>
      <c r="F1548" s="85"/>
      <c r="G1548" s="85"/>
    </row>
  </sheetData>
  <customSheetViews>
    <customSheetView guid="{AE6F0488-1842-4C89-B05F-A836B633FB8F}" scale="75" showPageBreaks="1" hiddenColumns="1" showRuler="0">
      <pane xSplit="1" ySplit="3" topLeftCell="F29" activePane="bottomRight" state="frozen"/>
      <selection pane="bottomRight" activeCell="F38" sqref="F38"/>
      <rowBreaks count="11" manualBreakCount="11">
        <brk id="50" max="16" man="1"/>
        <brk id="51" max="16" man="1"/>
        <brk id="56" max="15" man="1"/>
        <brk id="101" max="16" man="1"/>
        <brk id="106" max="15" man="1"/>
        <brk id="151" max="16" man="1"/>
        <brk id="154" max="15" man="1"/>
        <brk id="199" max="16" man="1"/>
        <brk id="202" max="15" man="1"/>
        <brk id="247" max="16" man="1"/>
        <brk id="250" max="15" man="1"/>
      </rowBreaks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258" activePane="bottomRight" state="frozen"/>
      <selection pane="bottomRight" activeCell="P261" sqref="P261"/>
      <rowBreaks count="30" manualBreakCount="30">
        <brk id="50" max="16" man="1"/>
        <brk id="55" max="15" man="1"/>
        <brk id="105" max="15" man="1"/>
        <brk id="153" max="15" man="1"/>
        <brk id="201" max="15" man="1"/>
        <brk id="249" max="15" man="1"/>
        <brk id="303" max="16383" man="1"/>
        <brk id="357" max="16383" man="1"/>
        <brk id="411" max="16383" man="1"/>
        <brk id="465" max="16383" man="1"/>
        <brk id="519" max="16383" man="1"/>
        <brk id="573" max="16383" man="1"/>
        <brk id="627" max="16383" man="1"/>
        <brk id="681" max="16383" man="1"/>
        <brk id="735" max="16383" man="1"/>
        <brk id="789" max="16383" man="1"/>
        <brk id="843" max="16383" man="1"/>
        <brk id="897" max="16383" man="1"/>
        <brk id="951" max="16383" man="1"/>
        <brk id="1005" max="16383" man="1"/>
        <brk id="1059" max="16383" man="1"/>
        <brk id="1113" max="16383" man="1"/>
        <brk id="1167" max="16383" man="1"/>
        <brk id="1221" max="16383" man="1"/>
        <brk id="1275" max="16383" man="1"/>
        <brk id="1329" max="16383" man="1"/>
        <brk id="1383" max="16383" man="1"/>
        <brk id="1437" max="16383" man="1"/>
        <brk id="1491" max="16383" man="1"/>
        <brk id="1545" max="16383" man="1"/>
      </rowBreaks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13" activePane="bottomRight" state="frozen"/>
      <selection pane="bottomRight" activeCell="D31" sqref="D31"/>
      <rowBreaks count="7" manualBreakCount="7">
        <brk id="51" max="16" man="1"/>
        <brk id="56" max="15" man="1"/>
        <brk id="101" max="16" man="1"/>
        <brk id="106" max="15" man="1"/>
        <brk id="154" max="15" man="1"/>
        <brk id="202" max="15" man="1"/>
        <brk id="250" max="15" man="1"/>
      </rowBreaks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1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4" manualBreakCount="4">
    <brk id="66" max="16" man="1"/>
    <brk id="113" max="16" man="1"/>
    <brk id="173" max="16" man="1"/>
    <brk id="245" max="16" man="1"/>
  </rowBreaks>
  <legacy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8" tint="0.79998168889431442"/>
    <pageSetUpPr fitToPage="1"/>
  </sheetPr>
  <dimension ref="A1:Y432"/>
  <sheetViews>
    <sheetView view="pageBreakPreview" zoomScale="80" zoomScaleNormal="86" zoomScaleSheetLayoutView="80" zoomScalePageLayoutView="71" workbookViewId="0">
      <selection activeCell="P17" sqref="P17"/>
    </sheetView>
  </sheetViews>
  <sheetFormatPr defaultColWidth="9.140625" defaultRowHeight="12.75"/>
  <cols>
    <col min="1" max="1" width="31" style="49" customWidth="1"/>
    <col min="2" max="2" width="13.5703125" style="82" customWidth="1"/>
    <col min="3" max="3" width="11.28515625" style="82" customWidth="1"/>
    <col min="4" max="4" width="11.7109375" style="82" customWidth="1"/>
    <col min="5" max="5" width="14.7109375" style="209" hidden="1" customWidth="1"/>
    <col min="6" max="6" width="17.85546875" style="82" customWidth="1"/>
    <col min="7" max="7" width="17.140625" style="82" customWidth="1"/>
    <col min="8" max="8" width="19.28515625" style="49" customWidth="1"/>
    <col min="9" max="9" width="14.7109375" style="49" customWidth="1"/>
    <col min="10" max="10" width="17.140625" style="49" customWidth="1"/>
    <col min="11" max="11" width="15.140625" style="49" customWidth="1"/>
    <col min="12" max="12" width="18" style="49" customWidth="1"/>
    <col min="13" max="13" width="17.7109375" style="49" customWidth="1"/>
    <col min="14" max="14" width="18.140625" style="49" customWidth="1"/>
    <col min="15" max="15" width="15" style="49" customWidth="1"/>
    <col min="16" max="16" width="16.140625" style="49" customWidth="1"/>
    <col min="17" max="17" width="23.85546875" style="49" customWidth="1"/>
    <col min="18" max="18" width="9.140625" style="49"/>
    <col min="19" max="19" width="13.85546875" style="49" customWidth="1"/>
    <col min="20" max="20" width="15.7109375" style="49" customWidth="1"/>
    <col min="21" max="21" width="14.28515625" style="49" customWidth="1"/>
    <col min="22" max="22" width="14.85546875" style="49" customWidth="1"/>
    <col min="23" max="24" width="17.28515625" style="49" customWidth="1"/>
    <col min="25" max="16384" width="9.140625" style="49"/>
  </cols>
  <sheetData>
    <row r="1" spans="1:25" ht="15.75" customHeight="1">
      <c r="A1" s="1" t="s">
        <v>284</v>
      </c>
      <c r="B1" s="542" t="s">
        <v>572</v>
      </c>
      <c r="C1" s="475"/>
      <c r="D1" s="399"/>
      <c r="E1" s="399"/>
      <c r="F1" s="399"/>
      <c r="G1" s="399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ht="15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82.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51"/>
      <c r="C4" s="51"/>
      <c r="D4" s="52"/>
      <c r="E4" s="203"/>
      <c r="F4" s="5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25">
      <c r="A5" s="54" t="s">
        <v>10</v>
      </c>
      <c r="B5" s="51"/>
      <c r="C5" s="51"/>
      <c r="D5" s="52"/>
      <c r="E5" s="203"/>
      <c r="F5" s="5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25">
      <c r="A6" s="50"/>
      <c r="B6" s="51"/>
      <c r="C6" s="51"/>
      <c r="D6" s="52"/>
      <c r="E6" s="203"/>
      <c r="F6" s="5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25">
      <c r="A7" s="47" t="str">
        <f>A15</f>
        <v>STATE OF NEVADA</v>
      </c>
      <c r="B7" s="48">
        <f t="shared" ref="B7:Q7" si="0">B24</f>
        <v>0.17</v>
      </c>
      <c r="C7" s="48">
        <f t="shared" si="0"/>
        <v>0</v>
      </c>
      <c r="D7" s="43">
        <f t="shared" si="0"/>
        <v>7727</v>
      </c>
      <c r="E7" s="173"/>
      <c r="F7" s="43">
        <f t="shared" si="0"/>
        <v>599347036.22176468</v>
      </c>
      <c r="G7" s="53">
        <f t="shared" si="0"/>
        <v>154129.90330000001</v>
      </c>
      <c r="H7" s="53">
        <f t="shared" si="0"/>
        <v>868479.59180000005</v>
      </c>
      <c r="I7" s="53">
        <f t="shared" si="0"/>
        <v>0</v>
      </c>
      <c r="J7" s="53">
        <f t="shared" si="0"/>
        <v>3642.0299999999997</v>
      </c>
      <c r="K7" s="53">
        <f t="shared" si="0"/>
        <v>58.22</v>
      </c>
      <c r="L7" s="53">
        <f t="shared" si="0"/>
        <v>1019025.6851</v>
      </c>
      <c r="M7" s="53">
        <f t="shared" si="0"/>
        <v>118264.06999999999</v>
      </c>
      <c r="N7" s="53">
        <f t="shared" si="0"/>
        <v>900761.61509999994</v>
      </c>
      <c r="O7" s="53">
        <f t="shared" si="0"/>
        <v>8997.35</v>
      </c>
      <c r="P7" s="53">
        <f>P24</f>
        <v>8905.2800000000007</v>
      </c>
      <c r="Q7" s="53">
        <f t="shared" si="0"/>
        <v>882858.98510000005</v>
      </c>
      <c r="W7" s="174" t="s">
        <v>15</v>
      </c>
      <c r="X7" s="284">
        <f>Q17+Q41+Q60+Q72+Q86</f>
        <v>11099417.619999999</v>
      </c>
      <c r="Y7" s="390" t="s">
        <v>461</v>
      </c>
    </row>
    <row r="8" spans="1:25">
      <c r="A8" s="49" t="str">
        <f>A27</f>
        <v>GENERAL COUNTY</v>
      </c>
      <c r="B8" s="48">
        <f t="shared" ref="B8:Q8" si="1">B48</f>
        <v>1.9509999999999994</v>
      </c>
      <c r="C8" s="48">
        <f t="shared" si="1"/>
        <v>0</v>
      </c>
      <c r="D8" s="43">
        <f t="shared" si="1"/>
        <v>7727</v>
      </c>
      <c r="E8" s="173"/>
      <c r="F8" s="43">
        <f t="shared" si="1"/>
        <v>599347172.16110206</v>
      </c>
      <c r="G8" s="53">
        <f t="shared" si="1"/>
        <v>1768867.2399899997</v>
      </c>
      <c r="H8" s="53">
        <f t="shared" si="1"/>
        <v>9967087.741539998</v>
      </c>
      <c r="I8" s="53">
        <f t="shared" si="1"/>
        <v>0</v>
      </c>
      <c r="J8" s="53">
        <f t="shared" si="1"/>
        <v>41799.709999999992</v>
      </c>
      <c r="K8" s="53">
        <f t="shared" si="1"/>
        <v>667.55000000000018</v>
      </c>
      <c r="L8" s="53">
        <f t="shared" si="1"/>
        <v>11694822.821529998</v>
      </c>
      <c r="M8" s="53">
        <f t="shared" si="1"/>
        <v>1357286.31</v>
      </c>
      <c r="N8" s="53">
        <f t="shared" si="1"/>
        <v>10337536.511529999</v>
      </c>
      <c r="O8" s="53">
        <f t="shared" si="1"/>
        <v>103257.44</v>
      </c>
      <c r="P8" s="53">
        <f>P48</f>
        <v>240701.27000000002</v>
      </c>
      <c r="Q8" s="53">
        <f t="shared" si="1"/>
        <v>9993577.8015299998</v>
      </c>
      <c r="W8" s="171" t="s">
        <v>16</v>
      </c>
      <c r="X8" s="284">
        <f>Q18+Q42+Q61+Q73+Q87</f>
        <v>2208258.6533999997</v>
      </c>
    </row>
    <row r="9" spans="1:25">
      <c r="A9" s="47" t="str">
        <f>A58</f>
        <v>SCHOOL DISTRICT</v>
      </c>
      <c r="B9" s="48">
        <f t="shared" ref="B9:Q9" si="2">B81</f>
        <v>0.999</v>
      </c>
      <c r="C9" s="48">
        <f t="shared" si="2"/>
        <v>0</v>
      </c>
      <c r="D9" s="43">
        <f t="shared" si="2"/>
        <v>7727</v>
      </c>
      <c r="E9" s="173"/>
      <c r="F9" s="43">
        <f t="shared" si="2"/>
        <v>599346920.14333332</v>
      </c>
      <c r="G9" s="53">
        <f t="shared" si="2"/>
        <v>905739.82551000011</v>
      </c>
      <c r="H9" s="53">
        <f t="shared" si="2"/>
        <v>5103604.9714599997</v>
      </c>
      <c r="I9" s="53">
        <f t="shared" si="2"/>
        <v>0</v>
      </c>
      <c r="J9" s="53">
        <f t="shared" si="2"/>
        <v>21403.1</v>
      </c>
      <c r="K9" s="53">
        <f t="shared" si="2"/>
        <v>341.77</v>
      </c>
      <c r="L9" s="53">
        <f t="shared" si="2"/>
        <v>5988283.4669699995</v>
      </c>
      <c r="M9" s="53">
        <f t="shared" si="2"/>
        <v>694987.85</v>
      </c>
      <c r="N9" s="53">
        <f t="shared" si="2"/>
        <v>5293295.6169699999</v>
      </c>
      <c r="O9" s="53">
        <f t="shared" si="2"/>
        <v>52872.79</v>
      </c>
      <c r="P9" s="53">
        <f>P81</f>
        <v>122331.62</v>
      </c>
      <c r="Q9" s="53">
        <f t="shared" si="2"/>
        <v>5118091.2069699997</v>
      </c>
      <c r="W9" s="171" t="s">
        <v>17</v>
      </c>
      <c r="X9" s="284">
        <f t="shared" ref="X9:X14" si="3">Q19+Q43+Q62+Q74+Q88</f>
        <v>4375488.0563999992</v>
      </c>
    </row>
    <row r="10" spans="1:25">
      <c r="A10" s="47" t="str">
        <f>A84</f>
        <v>WHITE PINE CO HOSPITAL DISTRICT</v>
      </c>
      <c r="B10" s="48">
        <f t="shared" ref="B10:Q10" si="4">B93</f>
        <v>0.54</v>
      </c>
      <c r="C10" s="48">
        <f t="shared" si="4"/>
        <v>0</v>
      </c>
      <c r="D10" s="43">
        <f t="shared" si="4"/>
        <v>7727</v>
      </c>
      <c r="E10" s="173"/>
      <c r="F10" s="43">
        <f t="shared" si="4"/>
        <v>600355547.06814826</v>
      </c>
      <c r="G10" s="53">
        <f t="shared" si="4"/>
        <v>489589.0846</v>
      </c>
      <c r="H10" s="53">
        <f t="shared" si="4"/>
        <v>2758699.9015999995</v>
      </c>
      <c r="I10" s="53">
        <f t="shared" si="4"/>
        <v>0</v>
      </c>
      <c r="J10" s="53">
        <f t="shared" si="4"/>
        <v>11570</v>
      </c>
      <c r="K10" s="53">
        <f t="shared" si="4"/>
        <v>184.75</v>
      </c>
      <c r="L10" s="53">
        <f t="shared" si="4"/>
        <v>3236903.7361999997</v>
      </c>
      <c r="M10" s="53">
        <f t="shared" si="4"/>
        <v>375664.31</v>
      </c>
      <c r="N10" s="53">
        <f t="shared" si="4"/>
        <v>2861239.4261999996</v>
      </c>
      <c r="O10" s="53">
        <f t="shared" si="4"/>
        <v>28579.759999999998</v>
      </c>
      <c r="P10" s="53">
        <f>P93</f>
        <v>66287.360000000015</v>
      </c>
      <c r="Q10" s="53">
        <f t="shared" si="4"/>
        <v>2766372.3061999995</v>
      </c>
      <c r="W10" s="171" t="s">
        <v>18</v>
      </c>
      <c r="X10" s="284"/>
    </row>
    <row r="11" spans="1:25">
      <c r="A11" s="57"/>
      <c r="B11" s="51"/>
      <c r="C11" s="51"/>
      <c r="D11" s="52"/>
      <c r="E11" s="203"/>
      <c r="F11" s="52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W11" s="285" t="s">
        <v>19</v>
      </c>
      <c r="X11" s="284">
        <f>N21+Q45+Q64+Q76+Q90</f>
        <v>994585.72</v>
      </c>
      <c r="Y11" s="390" t="s">
        <v>461</v>
      </c>
    </row>
    <row r="12" spans="1:25" ht="13.5" thickBot="1">
      <c r="A12" s="57" t="s">
        <v>14</v>
      </c>
      <c r="B12" s="51"/>
      <c r="C12" s="51"/>
      <c r="D12" s="69">
        <f>D7</f>
        <v>7727</v>
      </c>
      <c r="E12" s="204"/>
      <c r="F12" s="69">
        <f>F7</f>
        <v>599347036.22176468</v>
      </c>
      <c r="G12" s="70">
        <f t="shared" ref="G12:Q12" si="5">SUM(G7:G10)</f>
        <v>3318326.0534000001</v>
      </c>
      <c r="H12" s="70">
        <f t="shared" si="5"/>
        <v>18697872.2064</v>
      </c>
      <c r="I12" s="70">
        <f t="shared" si="5"/>
        <v>0</v>
      </c>
      <c r="J12" s="70">
        <f t="shared" si="5"/>
        <v>78414.84</v>
      </c>
      <c r="K12" s="70">
        <f t="shared" si="5"/>
        <v>1252.2900000000002</v>
      </c>
      <c r="L12" s="70">
        <f t="shared" si="5"/>
        <v>21939035.709799998</v>
      </c>
      <c r="M12" s="70">
        <f t="shared" si="5"/>
        <v>2546202.54</v>
      </c>
      <c r="N12" s="70">
        <f t="shared" si="5"/>
        <v>19392833.169799998</v>
      </c>
      <c r="O12" s="70">
        <f t="shared" si="5"/>
        <v>193707.34000000003</v>
      </c>
      <c r="P12" s="70">
        <f>SUM(P7:P10)</f>
        <v>438225.53</v>
      </c>
      <c r="Q12" s="70">
        <f t="shared" si="5"/>
        <v>18760900.299800001</v>
      </c>
      <c r="W12" s="285" t="s">
        <v>20</v>
      </c>
      <c r="X12" s="284">
        <f t="shared" si="3"/>
        <v>92050.239999999991</v>
      </c>
      <c r="Y12" s="390" t="s">
        <v>461</v>
      </c>
    </row>
    <row r="13" spans="1:25" ht="13.5" thickBot="1">
      <c r="A13" s="60"/>
      <c r="B13" s="61"/>
      <c r="C13" s="61"/>
      <c r="D13" s="62"/>
      <c r="E13" s="215"/>
      <c r="F13" s="62"/>
      <c r="G13" s="62"/>
      <c r="H13" s="62"/>
      <c r="I13" s="62"/>
      <c r="J13" s="62"/>
      <c r="K13" s="62"/>
      <c r="L13" s="279" t="s">
        <v>388</v>
      </c>
      <c r="M13" s="280">
        <f>M12/L12</f>
        <v>0.11605808813477755</v>
      </c>
      <c r="N13" s="62"/>
      <c r="O13" s="62"/>
      <c r="P13" s="62"/>
      <c r="Q13" s="62"/>
      <c r="W13" s="174"/>
      <c r="X13" s="284"/>
      <c r="Y13" s="390"/>
    </row>
    <row r="14" spans="1:25">
      <c r="A14" s="50"/>
      <c r="B14" s="51"/>
      <c r="C14" s="51"/>
      <c r="D14" s="52"/>
      <c r="E14" s="203"/>
      <c r="F14" s="5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W14" s="174"/>
      <c r="X14" s="284">
        <f t="shared" si="3"/>
        <v>18760900.299800001</v>
      </c>
    </row>
    <row r="15" spans="1:25">
      <c r="A15" s="54" t="s">
        <v>11</v>
      </c>
      <c r="B15" s="51"/>
      <c r="C15" s="51"/>
      <c r="D15" s="52"/>
      <c r="E15" s="203"/>
      <c r="F15" s="52"/>
      <c r="G15" s="64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25">
      <c r="A16" s="47"/>
      <c r="B16" s="48"/>
      <c r="C16" s="48"/>
      <c r="D16" s="43"/>
      <c r="E16" s="65">
        <v>66736449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22">
      <c r="A17" s="49" t="s">
        <v>15</v>
      </c>
      <c r="B17" s="48">
        <v>0.17</v>
      </c>
      <c r="C17" s="48">
        <v>0</v>
      </c>
      <c r="D17" s="43">
        <v>7727</v>
      </c>
      <c r="E17" s="173">
        <f>G17/B17*100</f>
        <v>6401570.5882352935</v>
      </c>
      <c r="F17" s="43">
        <v>368151610</v>
      </c>
      <c r="G17" s="53">
        <v>10882.67</v>
      </c>
      <c r="H17" s="53">
        <v>616970.85</v>
      </c>
      <c r="I17" s="53">
        <v>0</v>
      </c>
      <c r="J17" s="53">
        <v>1918.28</v>
      </c>
      <c r="K17" s="53">
        <v>58.22</v>
      </c>
      <c r="L17" s="53">
        <f>G17+H17+I17-J17+K17</f>
        <v>625993.46</v>
      </c>
      <c r="M17" s="53">
        <v>89998.23</v>
      </c>
      <c r="N17" s="53">
        <f>L17-M17</f>
        <v>535995.23</v>
      </c>
      <c r="O17" s="53">
        <v>8997.35</v>
      </c>
      <c r="P17" s="53">
        <v>0</v>
      </c>
      <c r="Q17" s="53">
        <f>N17-O17-P17</f>
        <v>526997.88</v>
      </c>
    </row>
    <row r="18" spans="1:22">
      <c r="A18" s="47" t="s">
        <v>16</v>
      </c>
      <c r="B18" s="48">
        <f>B17</f>
        <v>0.17</v>
      </c>
      <c r="C18" s="48"/>
      <c r="D18" s="43"/>
      <c r="E18" s="173">
        <v>6120691</v>
      </c>
      <c r="F18" s="65">
        <f>IF(E16&gt;E17,E16-E17,0)</f>
        <v>60334878.411764704</v>
      </c>
      <c r="G18" s="53">
        <f>F18*(B18-C18)/100</f>
        <v>102569.2933</v>
      </c>
      <c r="H18" s="53"/>
      <c r="I18" s="53">
        <f>F18*C18/100</f>
        <v>0</v>
      </c>
      <c r="J18" s="53"/>
      <c r="K18" s="53"/>
      <c r="L18" s="53">
        <f>G18+H18+I18-J18+K18</f>
        <v>102569.2933</v>
      </c>
      <c r="M18" s="53"/>
      <c r="N18" s="53">
        <f>L18-M18</f>
        <v>102569.2933</v>
      </c>
      <c r="O18" s="53"/>
      <c r="P18" s="53"/>
      <c r="Q18" s="53">
        <f>N18-O18-P18</f>
        <v>102569.2933</v>
      </c>
    </row>
    <row r="19" spans="1:22">
      <c r="A19" s="47" t="s">
        <v>17</v>
      </c>
      <c r="B19" s="48">
        <f>B17</f>
        <v>0.17</v>
      </c>
      <c r="C19" s="48"/>
      <c r="D19" s="43"/>
      <c r="E19" s="173"/>
      <c r="F19" s="66">
        <v>119548854</v>
      </c>
      <c r="G19" s="53"/>
      <c r="H19" s="53">
        <f>F19*(B19-C19)/100</f>
        <v>203233.05179999999</v>
      </c>
      <c r="I19" s="53">
        <f>F19*C19/100</f>
        <v>0</v>
      </c>
      <c r="J19" s="53">
        <v>0</v>
      </c>
      <c r="K19" s="53">
        <v>0</v>
      </c>
      <c r="L19" s="53">
        <f>G19+H19+I19-J19+K19</f>
        <v>203233.05179999999</v>
      </c>
      <c r="M19" s="53">
        <v>0</v>
      </c>
      <c r="N19" s="53">
        <f>L19-M19</f>
        <v>203233.05179999999</v>
      </c>
      <c r="O19" s="53">
        <v>0</v>
      </c>
      <c r="P19" s="53">
        <v>0</v>
      </c>
      <c r="Q19" s="53">
        <f>N19-O19-P19</f>
        <v>203233.05179999999</v>
      </c>
    </row>
    <row r="20" spans="1:22">
      <c r="A20" s="47" t="s">
        <v>18</v>
      </c>
      <c r="B20" s="48"/>
      <c r="C20" s="48"/>
      <c r="D20" s="43"/>
      <c r="E20" s="173"/>
      <c r="F20" s="43"/>
      <c r="G20" s="53"/>
      <c r="H20" s="53"/>
      <c r="I20" s="53"/>
      <c r="J20" s="53"/>
      <c r="K20" s="53"/>
      <c r="L20" s="53">
        <f t="shared" ref="L20:L21" si="6">G20+H20+I20-J20+K20</f>
        <v>0</v>
      </c>
      <c r="M20" s="53"/>
      <c r="N20" s="53">
        <f t="shared" ref="N20:N21" si="7">L20-M20</f>
        <v>0</v>
      </c>
      <c r="O20" s="53"/>
      <c r="P20" s="53"/>
      <c r="Q20" s="53">
        <f t="shared" ref="Q20:Q21" si="8">N20-O20-P20</f>
        <v>0</v>
      </c>
    </row>
    <row r="21" spans="1:22">
      <c r="A21" s="67" t="s">
        <v>19</v>
      </c>
      <c r="B21" s="48">
        <f>B17</f>
        <v>0.17</v>
      </c>
      <c r="C21" s="48"/>
      <c r="D21" s="43"/>
      <c r="E21" s="173"/>
      <c r="F21" s="43">
        <v>48793546.960000001</v>
      </c>
      <c r="G21" s="53">
        <v>36782.99</v>
      </c>
      <c r="H21" s="53">
        <v>47889.79</v>
      </c>
      <c r="I21" s="53">
        <f>F21*C21/100</f>
        <v>0</v>
      </c>
      <c r="J21" s="53">
        <v>1723.75</v>
      </c>
      <c r="K21" s="53">
        <v>0</v>
      </c>
      <c r="L21" s="53">
        <f t="shared" si="6"/>
        <v>82949.03</v>
      </c>
      <c r="M21" s="53">
        <v>28265.84</v>
      </c>
      <c r="N21" s="53">
        <f t="shared" si="7"/>
        <v>54683.19</v>
      </c>
      <c r="O21" s="53">
        <v>0</v>
      </c>
      <c r="P21" s="53">
        <v>8899.99</v>
      </c>
      <c r="Q21" s="53">
        <f t="shared" si="8"/>
        <v>45783.200000000004</v>
      </c>
    </row>
    <row r="22" spans="1:22">
      <c r="A22" s="67" t="s">
        <v>20</v>
      </c>
      <c r="B22" s="48">
        <f>B17</f>
        <v>0.17</v>
      </c>
      <c r="C22" s="48"/>
      <c r="D22" s="43"/>
      <c r="E22" s="173"/>
      <c r="F22" s="43">
        <v>2518146.85</v>
      </c>
      <c r="G22" s="53">
        <v>3894.95</v>
      </c>
      <c r="H22" s="53">
        <v>385.9</v>
      </c>
      <c r="I22" s="53">
        <v>0</v>
      </c>
      <c r="J22" s="53">
        <v>0</v>
      </c>
      <c r="K22" s="53">
        <v>0</v>
      </c>
      <c r="L22" s="53">
        <f>G22+H22+I22-J22+K22</f>
        <v>4280.8499999999995</v>
      </c>
      <c r="M22" s="53">
        <v>0</v>
      </c>
      <c r="N22" s="53">
        <f>L22-M22</f>
        <v>4280.8499999999995</v>
      </c>
      <c r="O22" s="53">
        <v>0</v>
      </c>
      <c r="P22" s="53">
        <v>5.29</v>
      </c>
      <c r="Q22" s="53">
        <f>N22-O22-P22</f>
        <v>4275.5599999999995</v>
      </c>
    </row>
    <row r="23" spans="1:22">
      <c r="A23" s="47"/>
      <c r="B23" s="48"/>
      <c r="C23" s="48"/>
      <c r="D23" s="43"/>
      <c r="E23" s="173"/>
      <c r="F23" s="4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22" s="50" customFormat="1" ht="13.5" thickBot="1">
      <c r="A24" s="60" t="str">
        <f>"TOTAL "&amp;A15</f>
        <v>TOTAL STATE OF NEVADA</v>
      </c>
      <c r="B24" s="68">
        <f>B17</f>
        <v>0.17</v>
      </c>
      <c r="C24" s="68">
        <f>C17</f>
        <v>0</v>
      </c>
      <c r="D24" s="69">
        <f t="shared" ref="D24:Q24" si="9">SUM(D17:D19,D21:D22)</f>
        <v>7727</v>
      </c>
      <c r="E24" s="204"/>
      <c r="F24" s="69">
        <f t="shared" si="9"/>
        <v>599347036.22176468</v>
      </c>
      <c r="G24" s="70">
        <f t="shared" si="9"/>
        <v>154129.90330000001</v>
      </c>
      <c r="H24" s="70">
        <f t="shared" si="9"/>
        <v>868479.59180000005</v>
      </c>
      <c r="I24" s="70">
        <f t="shared" si="9"/>
        <v>0</v>
      </c>
      <c r="J24" s="70">
        <f t="shared" si="9"/>
        <v>3642.0299999999997</v>
      </c>
      <c r="K24" s="70">
        <f t="shared" si="9"/>
        <v>58.22</v>
      </c>
      <c r="L24" s="70">
        <f t="shared" si="9"/>
        <v>1019025.6851</v>
      </c>
      <c r="M24" s="70">
        <f t="shared" si="9"/>
        <v>118264.06999999999</v>
      </c>
      <c r="N24" s="70">
        <f>SUM(N17:N19,N21:N22)</f>
        <v>900761.61509999994</v>
      </c>
      <c r="O24" s="70">
        <f t="shared" si="9"/>
        <v>8997.35</v>
      </c>
      <c r="P24" s="70">
        <f t="shared" si="9"/>
        <v>8905.2800000000007</v>
      </c>
      <c r="Q24" s="70">
        <f t="shared" si="9"/>
        <v>882858.98510000005</v>
      </c>
    </row>
    <row r="25" spans="1:22">
      <c r="A25" s="150" t="s">
        <v>355</v>
      </c>
      <c r="B25" s="48"/>
      <c r="C25" s="48"/>
      <c r="D25" s="43"/>
      <c r="E25" s="173"/>
      <c r="F25" s="64">
        <v>595855511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22">
      <c r="A26" s="151" t="s">
        <v>30</v>
      </c>
      <c r="B26" s="51"/>
      <c r="C26" s="51"/>
      <c r="D26" s="52"/>
      <c r="E26" s="203"/>
      <c r="F26" s="152">
        <f>F24-F25</f>
        <v>3491525.2217646837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T26" s="266" t="s">
        <v>378</v>
      </c>
      <c r="U26" s="266" t="s">
        <v>384</v>
      </c>
      <c r="V26" s="266" t="s">
        <v>227</v>
      </c>
    </row>
    <row r="27" spans="1:22">
      <c r="A27" s="54" t="s">
        <v>12</v>
      </c>
      <c r="B27" s="48"/>
      <c r="C27" s="48"/>
      <c r="D27" s="43"/>
      <c r="E27" s="173"/>
      <c r="F27" s="43"/>
      <c r="G27" s="64"/>
      <c r="H27" s="43"/>
      <c r="I27" s="43"/>
      <c r="J27" s="43"/>
      <c r="K27" s="43"/>
      <c r="L27" s="43"/>
      <c r="M27" s="43"/>
      <c r="N27" s="43"/>
      <c r="O27" s="43"/>
      <c r="P27" s="43"/>
      <c r="Q27" s="43"/>
      <c r="T27" s="266" t="s">
        <v>379</v>
      </c>
      <c r="U27" s="266" t="s">
        <v>385</v>
      </c>
      <c r="V27" s="266" t="s">
        <v>382</v>
      </c>
    </row>
    <row r="28" spans="1:22">
      <c r="A28" s="47"/>
      <c r="B28" s="48"/>
      <c r="C28" s="48"/>
      <c r="D28" s="43"/>
      <c r="E28" s="173"/>
      <c r="F28" s="463">
        <f>(G41+H41)/B41*100</f>
        <v>369325834.95643276</v>
      </c>
      <c r="G28" s="463"/>
      <c r="H28" s="464">
        <f>F28-J28</f>
        <v>368197327.01178896</v>
      </c>
      <c r="I28" s="463"/>
      <c r="J28" s="463">
        <f>J41/B41*100</f>
        <v>1128507.9446437724</v>
      </c>
      <c r="K28" s="43"/>
      <c r="L28" s="43"/>
      <c r="M28" s="43"/>
      <c r="N28" s="43"/>
      <c r="O28" s="43"/>
      <c r="P28" s="43"/>
      <c r="Q28" s="43"/>
      <c r="T28" s="266"/>
      <c r="U28" s="266" t="s">
        <v>381</v>
      </c>
      <c r="V28" s="266" t="s">
        <v>383</v>
      </c>
    </row>
    <row r="29" spans="1:22">
      <c r="A29" s="49" t="s">
        <v>15</v>
      </c>
      <c r="B29" s="48"/>
      <c r="C29" s="48"/>
      <c r="D29" s="43"/>
      <c r="E29" s="17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T29" s="266"/>
      <c r="U29" s="266"/>
      <c r="V29" s="266"/>
    </row>
    <row r="30" spans="1:22">
      <c r="A30" s="67" t="s">
        <v>61</v>
      </c>
      <c r="B30" s="48">
        <v>1.6198999999999999</v>
      </c>
      <c r="C30" s="48">
        <v>0</v>
      </c>
      <c r="D30" s="43">
        <v>7727</v>
      </c>
      <c r="E30" s="173"/>
      <c r="F30" s="43">
        <v>368151610</v>
      </c>
      <c r="G30" s="53">
        <v>103696.17</v>
      </c>
      <c r="H30" s="53">
        <v>5878998.8499999996</v>
      </c>
      <c r="I30" s="53">
        <v>0</v>
      </c>
      <c r="J30" s="53">
        <v>18281.97</v>
      </c>
      <c r="K30" s="53">
        <v>554.30999999999995</v>
      </c>
      <c r="L30" s="53">
        <f>G30+H30+I30-J30+K30</f>
        <v>5964967.3599999994</v>
      </c>
      <c r="M30" s="53">
        <v>857595.14</v>
      </c>
      <c r="N30" s="53">
        <f>L30-M30</f>
        <v>5107372.22</v>
      </c>
      <c r="O30" s="53">
        <v>85733.57</v>
      </c>
      <c r="P30" s="53">
        <v>115000</v>
      </c>
      <c r="Q30" s="53">
        <f>N30-O30-P30</f>
        <v>4906638.6499999994</v>
      </c>
      <c r="R30" s="326"/>
      <c r="T30" s="267">
        <f>B30/$B$41</f>
        <v>0.83029215786776034</v>
      </c>
      <c r="U30" s="153">
        <f>$T$46*T30</f>
        <v>3390940.0256506642</v>
      </c>
      <c r="V30" s="153">
        <f>Q30+U30</f>
        <v>8297578.6756506637</v>
      </c>
    </row>
    <row r="31" spans="1:22">
      <c r="A31" s="67" t="s">
        <v>285</v>
      </c>
      <c r="B31" s="48">
        <v>3.5000000000000003E-2</v>
      </c>
      <c r="C31" s="48"/>
      <c r="D31" s="43">
        <v>7727</v>
      </c>
      <c r="E31" s="173"/>
      <c r="F31" s="43">
        <v>368151610</v>
      </c>
      <c r="G31" s="53">
        <v>2240.5100000000002</v>
      </c>
      <c r="H31" s="53">
        <v>127022.99</v>
      </c>
      <c r="I31" s="53">
        <v>0</v>
      </c>
      <c r="J31" s="53">
        <v>394.95</v>
      </c>
      <c r="K31" s="53">
        <v>11.97</v>
      </c>
      <c r="L31" s="53">
        <f t="shared" ref="L31:L40" si="10">G31+H31+I31-J31+K31</f>
        <v>128880.52</v>
      </c>
      <c r="M31" s="53">
        <v>18528.16</v>
      </c>
      <c r="N31" s="53">
        <f t="shared" ref="N31:N40" si="11">L31-M31</f>
        <v>110352.36</v>
      </c>
      <c r="O31" s="53">
        <v>1852.41</v>
      </c>
      <c r="P31" s="53">
        <v>2500</v>
      </c>
      <c r="Q31" s="53">
        <f t="shared" ref="Q31:Q40" si="12">N31-O31-P31</f>
        <v>105999.95</v>
      </c>
      <c r="T31" s="267">
        <f t="shared" ref="T31:T39" si="13">B31/$B$41</f>
        <v>1.7939518195797033E-2</v>
      </c>
      <c r="U31" s="153">
        <f t="shared" ref="U31:U39" si="14">$T$46*T31</f>
        <v>73265.572503100964</v>
      </c>
      <c r="V31" s="153">
        <f t="shared" ref="V31:V39" si="15">Q31+U31</f>
        <v>179265.52250310098</v>
      </c>
    </row>
    <row r="32" spans="1:22">
      <c r="A32" s="67" t="s">
        <v>69</v>
      </c>
      <c r="B32" s="48">
        <v>0.01</v>
      </c>
      <c r="C32" s="48"/>
      <c r="D32" s="43">
        <v>7727</v>
      </c>
      <c r="E32" s="173"/>
      <c r="F32" s="43">
        <v>368151610</v>
      </c>
      <c r="G32" s="53">
        <v>640.02</v>
      </c>
      <c r="H32" s="53">
        <v>36295.129999999997</v>
      </c>
      <c r="I32" s="53">
        <v>0</v>
      </c>
      <c r="J32" s="53">
        <v>112.35</v>
      </c>
      <c r="K32" s="53">
        <v>3.47</v>
      </c>
      <c r="L32" s="53">
        <f t="shared" si="10"/>
        <v>36826.269999999997</v>
      </c>
      <c r="M32" s="53">
        <v>5297.64</v>
      </c>
      <c r="N32" s="53">
        <f t="shared" si="11"/>
        <v>31528.629999999997</v>
      </c>
      <c r="O32" s="53">
        <v>529.23</v>
      </c>
      <c r="P32" s="53">
        <v>700</v>
      </c>
      <c r="Q32" s="53">
        <f t="shared" si="12"/>
        <v>30299.399999999998</v>
      </c>
      <c r="T32" s="267">
        <f t="shared" si="13"/>
        <v>5.1255766273705806E-3</v>
      </c>
      <c r="U32" s="153">
        <f t="shared" si="14"/>
        <v>20933.020715171704</v>
      </c>
      <c r="V32" s="153">
        <f t="shared" si="15"/>
        <v>51232.420715171698</v>
      </c>
    </row>
    <row r="33" spans="1:22">
      <c r="A33" s="67" t="s">
        <v>286</v>
      </c>
      <c r="B33" s="48">
        <v>4.4999999999999998E-2</v>
      </c>
      <c r="C33" s="48"/>
      <c r="D33" s="43">
        <v>7727</v>
      </c>
      <c r="E33" s="173"/>
      <c r="F33" s="43">
        <v>368151610</v>
      </c>
      <c r="G33" s="53">
        <v>2880.68</v>
      </c>
      <c r="H33" s="53">
        <v>163318.5</v>
      </c>
      <c r="I33" s="53">
        <v>0</v>
      </c>
      <c r="J33" s="53">
        <v>508.16</v>
      </c>
      <c r="K33" s="53">
        <v>15.42</v>
      </c>
      <c r="L33" s="53">
        <f t="shared" si="10"/>
        <v>165706.44</v>
      </c>
      <c r="M33" s="53">
        <v>23826.5</v>
      </c>
      <c r="N33" s="53">
        <f t="shared" si="11"/>
        <v>141879.94</v>
      </c>
      <c r="O33" s="53">
        <v>2381.61</v>
      </c>
      <c r="P33" s="53">
        <v>3200</v>
      </c>
      <c r="Q33" s="53">
        <f t="shared" si="12"/>
        <v>136298.33000000002</v>
      </c>
      <c r="T33" s="267">
        <f t="shared" si="13"/>
        <v>2.3065094823167612E-2</v>
      </c>
      <c r="U33" s="153">
        <f t="shared" si="14"/>
        <v>94198.593218272668</v>
      </c>
      <c r="V33" s="153">
        <f t="shared" si="15"/>
        <v>230496.92321827268</v>
      </c>
    </row>
    <row r="34" spans="1:22">
      <c r="A34" s="67" t="s">
        <v>24</v>
      </c>
      <c r="B34" s="48">
        <v>0.05</v>
      </c>
      <c r="C34" s="48"/>
      <c r="D34" s="43">
        <v>7727</v>
      </c>
      <c r="E34" s="173"/>
      <c r="F34" s="43">
        <v>368151610</v>
      </c>
      <c r="G34" s="53">
        <v>3201.14</v>
      </c>
      <c r="H34" s="53">
        <v>181463.08</v>
      </c>
      <c r="I34" s="53">
        <v>0</v>
      </c>
      <c r="J34" s="53">
        <v>564.26</v>
      </c>
      <c r="K34" s="53">
        <v>17.09</v>
      </c>
      <c r="L34" s="53">
        <f t="shared" si="10"/>
        <v>184117.05</v>
      </c>
      <c r="M34" s="53">
        <v>26471.09</v>
      </c>
      <c r="N34" s="53">
        <f t="shared" si="11"/>
        <v>157645.96</v>
      </c>
      <c r="O34" s="53">
        <v>2646.36</v>
      </c>
      <c r="P34" s="53">
        <v>3600</v>
      </c>
      <c r="Q34" s="53">
        <f t="shared" si="12"/>
        <v>151399.6</v>
      </c>
      <c r="T34" s="267">
        <f t="shared" si="13"/>
        <v>2.5627883136852905E-2</v>
      </c>
      <c r="U34" s="153">
        <f t="shared" si="14"/>
        <v>104665.10357585853</v>
      </c>
      <c r="V34" s="153">
        <f t="shared" si="15"/>
        <v>256064.70357585856</v>
      </c>
    </row>
    <row r="35" spans="1:22">
      <c r="A35" s="67" t="s">
        <v>287</v>
      </c>
      <c r="B35" s="48">
        <v>3.5000000000000003E-2</v>
      </c>
      <c r="C35" s="48"/>
      <c r="D35" s="43">
        <v>7727</v>
      </c>
      <c r="E35" s="173"/>
      <c r="F35" s="43">
        <v>368151610</v>
      </c>
      <c r="G35" s="53">
        <v>2240.5100000000002</v>
      </c>
      <c r="H35" s="53">
        <v>127022.99</v>
      </c>
      <c r="I35" s="53">
        <v>0</v>
      </c>
      <c r="J35" s="53">
        <v>394.95</v>
      </c>
      <c r="K35" s="53">
        <v>11.97</v>
      </c>
      <c r="L35" s="53">
        <f t="shared" si="10"/>
        <v>128880.52</v>
      </c>
      <c r="M35" s="53">
        <v>18528.16</v>
      </c>
      <c r="N35" s="53">
        <f t="shared" si="11"/>
        <v>110352.36</v>
      </c>
      <c r="O35" s="53">
        <v>1852.41</v>
      </c>
      <c r="P35" s="53">
        <v>2500</v>
      </c>
      <c r="Q35" s="53">
        <f t="shared" si="12"/>
        <v>105999.95</v>
      </c>
      <c r="T35" s="267">
        <f t="shared" si="13"/>
        <v>1.7939518195797033E-2</v>
      </c>
      <c r="U35" s="153">
        <f t="shared" si="14"/>
        <v>73265.572503100964</v>
      </c>
      <c r="V35" s="153">
        <f t="shared" si="15"/>
        <v>179265.52250310098</v>
      </c>
    </row>
    <row r="36" spans="1:22">
      <c r="A36" s="67" t="s">
        <v>101</v>
      </c>
      <c r="B36" s="48">
        <v>2.5000000000000001E-2</v>
      </c>
      <c r="C36" s="48"/>
      <c r="D36" s="43">
        <v>7727</v>
      </c>
      <c r="E36" s="173"/>
      <c r="F36" s="43">
        <v>368151610</v>
      </c>
      <c r="G36" s="53">
        <v>1600.39</v>
      </c>
      <c r="H36" s="53">
        <v>90735.09</v>
      </c>
      <c r="I36" s="53">
        <v>0</v>
      </c>
      <c r="J36" s="53">
        <v>281.73</v>
      </c>
      <c r="K36" s="53">
        <v>8.58</v>
      </c>
      <c r="L36" s="53">
        <f t="shared" si="10"/>
        <v>92062.33</v>
      </c>
      <c r="M36" s="53">
        <v>13240.57</v>
      </c>
      <c r="N36" s="53">
        <f t="shared" si="11"/>
        <v>78821.760000000009</v>
      </c>
      <c r="O36" s="53">
        <v>1323.18</v>
      </c>
      <c r="P36" s="53">
        <v>1800</v>
      </c>
      <c r="Q36" s="53">
        <f t="shared" si="12"/>
        <v>75698.580000000016</v>
      </c>
      <c r="T36" s="267">
        <f t="shared" si="13"/>
        <v>1.2813941568426452E-2</v>
      </c>
      <c r="U36" s="153">
        <f t="shared" si="14"/>
        <v>52332.551787929267</v>
      </c>
      <c r="V36" s="153">
        <f t="shared" si="15"/>
        <v>128031.13178792928</v>
      </c>
    </row>
    <row r="37" spans="1:22">
      <c r="A37" s="67" t="s">
        <v>288</v>
      </c>
      <c r="B37" s="48">
        <v>1.4999999999999999E-2</v>
      </c>
      <c r="C37" s="48"/>
      <c r="D37" s="43">
        <v>7727</v>
      </c>
      <c r="E37" s="173"/>
      <c r="F37" s="43">
        <v>368151610</v>
      </c>
      <c r="G37" s="53">
        <v>960.09</v>
      </c>
      <c r="H37" s="53">
        <v>54440.160000000003</v>
      </c>
      <c r="I37" s="53">
        <v>0</v>
      </c>
      <c r="J37" s="53">
        <v>169.38</v>
      </c>
      <c r="K37" s="53">
        <v>5.12</v>
      </c>
      <c r="L37" s="53">
        <f t="shared" si="10"/>
        <v>55235.990000000005</v>
      </c>
      <c r="M37" s="53">
        <v>7941.78</v>
      </c>
      <c r="N37" s="53">
        <f t="shared" si="11"/>
        <v>47294.210000000006</v>
      </c>
      <c r="O37" s="53">
        <v>793.95</v>
      </c>
      <c r="P37" s="53">
        <v>1000</v>
      </c>
      <c r="Q37" s="53">
        <f t="shared" si="12"/>
        <v>45500.260000000009</v>
      </c>
      <c r="T37" s="267">
        <f t="shared" si="13"/>
        <v>7.6883649410558709E-3</v>
      </c>
      <c r="U37" s="153">
        <f t="shared" si="14"/>
        <v>31399.531072757556</v>
      </c>
      <c r="V37" s="153">
        <f t="shared" si="15"/>
        <v>76899.791072757565</v>
      </c>
    </row>
    <row r="38" spans="1:22">
      <c r="A38" s="67" t="s">
        <v>138</v>
      </c>
      <c r="B38" s="48">
        <v>5.0000000000000001E-3</v>
      </c>
      <c r="C38" s="48"/>
      <c r="D38" s="43">
        <v>7727</v>
      </c>
      <c r="E38" s="173"/>
      <c r="F38" s="43">
        <v>368151610</v>
      </c>
      <c r="G38" s="53">
        <v>320.05</v>
      </c>
      <c r="H38" s="53">
        <v>18145.11</v>
      </c>
      <c r="I38" s="53">
        <v>0</v>
      </c>
      <c r="J38" s="53">
        <v>56.17</v>
      </c>
      <c r="K38" s="53">
        <v>1.7</v>
      </c>
      <c r="L38" s="53">
        <f t="shared" si="10"/>
        <v>18410.690000000002</v>
      </c>
      <c r="M38" s="53">
        <v>2643.53</v>
      </c>
      <c r="N38" s="53">
        <f t="shared" si="11"/>
        <v>15767.160000000002</v>
      </c>
      <c r="O38" s="53">
        <v>264.66000000000003</v>
      </c>
      <c r="P38" s="53">
        <v>400</v>
      </c>
      <c r="Q38" s="53">
        <f t="shared" si="12"/>
        <v>15102.500000000002</v>
      </c>
      <c r="T38" s="267">
        <f t="shared" si="13"/>
        <v>2.5627883136852903E-3</v>
      </c>
      <c r="U38" s="153">
        <f t="shared" si="14"/>
        <v>10466.510357585852</v>
      </c>
      <c r="V38" s="153">
        <f t="shared" si="15"/>
        <v>25569.010357585852</v>
      </c>
    </row>
    <row r="39" spans="1:22">
      <c r="A39" s="67" t="s">
        <v>289</v>
      </c>
      <c r="B39" s="48">
        <v>0.05</v>
      </c>
      <c r="C39" s="48"/>
      <c r="D39" s="43">
        <v>7727</v>
      </c>
      <c r="E39" s="173"/>
      <c r="F39" s="43">
        <v>368151610</v>
      </c>
      <c r="G39" s="53">
        <v>3201.14</v>
      </c>
      <c r="H39" s="53">
        <v>181463.08</v>
      </c>
      <c r="I39" s="53">
        <v>0</v>
      </c>
      <c r="J39" s="53">
        <v>564.26</v>
      </c>
      <c r="K39" s="53">
        <v>17.09</v>
      </c>
      <c r="L39" s="53">
        <f t="shared" si="10"/>
        <v>184117.05</v>
      </c>
      <c r="M39" s="53">
        <v>26471.09</v>
      </c>
      <c r="N39" s="53">
        <f t="shared" si="11"/>
        <v>157645.96</v>
      </c>
      <c r="O39" s="53">
        <v>2646.36</v>
      </c>
      <c r="P39" s="53">
        <v>3500</v>
      </c>
      <c r="Q39" s="53">
        <f t="shared" si="12"/>
        <v>151499.6</v>
      </c>
      <c r="T39" s="267">
        <f t="shared" si="13"/>
        <v>2.5627883136852905E-2</v>
      </c>
      <c r="U39" s="153">
        <f t="shared" si="14"/>
        <v>104665.10357585853</v>
      </c>
      <c r="V39" s="153">
        <f t="shared" si="15"/>
        <v>256164.70357585856</v>
      </c>
    </row>
    <row r="40" spans="1:22" s="50" customFormat="1">
      <c r="A40" s="321" t="s">
        <v>492</v>
      </c>
      <c r="B40" s="17">
        <v>6.1100000000000002E-2</v>
      </c>
      <c r="C40" s="51"/>
      <c r="D40" s="43">
        <v>7727</v>
      </c>
      <c r="E40" s="65">
        <v>66736449</v>
      </c>
      <c r="F40" s="13">
        <v>368151610</v>
      </c>
      <c r="G40" s="18">
        <v>3911.29</v>
      </c>
      <c r="H40" s="18">
        <v>221750.07</v>
      </c>
      <c r="I40" s="53">
        <v>0</v>
      </c>
      <c r="J40" s="18">
        <v>689.01</v>
      </c>
      <c r="K40" s="18">
        <v>20.83</v>
      </c>
      <c r="L40" s="18">
        <f t="shared" si="10"/>
        <v>224993.18</v>
      </c>
      <c r="M40" s="18">
        <v>32350.84</v>
      </c>
      <c r="N40" s="18">
        <f t="shared" si="11"/>
        <v>192642.34</v>
      </c>
      <c r="O40" s="18">
        <v>3233.7</v>
      </c>
      <c r="P40" s="18">
        <v>4300</v>
      </c>
      <c r="Q40" s="53">
        <f t="shared" si="12"/>
        <v>185108.63999999998</v>
      </c>
      <c r="T40" s="267">
        <f t="shared" ref="T40" si="16">B40/$B$41</f>
        <v>3.1317273193234248E-2</v>
      </c>
      <c r="U40" s="153">
        <f t="shared" ref="U40" si="17">$T$46*T40</f>
        <v>127900.75656969912</v>
      </c>
      <c r="V40" s="153">
        <f t="shared" ref="V40" si="18">Q40+U40</f>
        <v>313009.39656969911</v>
      </c>
    </row>
    <row r="41" spans="1:22">
      <c r="A41" s="71" t="s">
        <v>26</v>
      </c>
      <c r="B41" s="51">
        <f>SUM(B30:B40)</f>
        <v>1.9509999999999994</v>
      </c>
      <c r="C41" s="51">
        <f>-SUM(C30:C40)</f>
        <v>0</v>
      </c>
      <c r="D41" s="78">
        <f>D30</f>
        <v>7727</v>
      </c>
      <c r="E41" s="206">
        <f>G41/B41*100</f>
        <v>6401434.6488980018</v>
      </c>
      <c r="F41" s="78">
        <f>F30</f>
        <v>368151610</v>
      </c>
      <c r="G41" s="79">
        <f t="shared" ref="G41:P41" si="19">SUM(G30:G40)</f>
        <v>124891.98999999998</v>
      </c>
      <c r="H41" s="79">
        <f t="shared" si="19"/>
        <v>7080655.0500000007</v>
      </c>
      <c r="I41" s="79">
        <f t="shared" si="19"/>
        <v>0</v>
      </c>
      <c r="J41" s="79">
        <f t="shared" si="19"/>
        <v>22017.189999999995</v>
      </c>
      <c r="K41" s="79">
        <f t="shared" si="19"/>
        <v>667.55000000000018</v>
      </c>
      <c r="L41" s="79">
        <f t="shared" si="19"/>
        <v>7184197.3999999985</v>
      </c>
      <c r="M41" s="79">
        <f t="shared" si="19"/>
        <v>1032894.5</v>
      </c>
      <c r="N41" s="79">
        <f t="shared" si="19"/>
        <v>6151302.9000000004</v>
      </c>
      <c r="O41" s="79">
        <f t="shared" si="19"/>
        <v>103257.44</v>
      </c>
      <c r="P41" s="79">
        <f t="shared" si="19"/>
        <v>138500</v>
      </c>
      <c r="Q41" s="79">
        <f>N41-O41-P41</f>
        <v>5909545.46</v>
      </c>
      <c r="T41" s="507">
        <f>SUM(T30:T40)</f>
        <v>1.0000000000000002</v>
      </c>
      <c r="U41" s="269">
        <f>SUM(U30:U40)</f>
        <v>4084032.3415299994</v>
      </c>
      <c r="V41" s="269">
        <f>SUM(V30:V40)</f>
        <v>9993577.8015299998</v>
      </c>
    </row>
    <row r="42" spans="1:22" ht="21" customHeight="1">
      <c r="A42" s="47" t="s">
        <v>16</v>
      </c>
      <c r="B42" s="48">
        <f>B41</f>
        <v>1.9509999999999994</v>
      </c>
      <c r="C42" s="48">
        <f>C41</f>
        <v>0</v>
      </c>
      <c r="D42" s="43"/>
      <c r="E42" s="173"/>
      <c r="F42" s="65">
        <f>IF(E40&gt;E41,E40-E41,0)</f>
        <v>60335014.351101995</v>
      </c>
      <c r="G42" s="53">
        <f>F42*(B42-C42)/100</f>
        <v>1177136.1299899996</v>
      </c>
      <c r="H42" s="53"/>
      <c r="I42" s="53">
        <f>F42*C42/100</f>
        <v>0</v>
      </c>
      <c r="J42" s="53"/>
      <c r="K42" s="53"/>
      <c r="L42" s="53">
        <f>G42+H42+I42-J42+K42</f>
        <v>1177136.1299899996</v>
      </c>
      <c r="M42" s="53"/>
      <c r="N42" s="53">
        <f>L42-M42</f>
        <v>1177136.1299899996</v>
      </c>
      <c r="O42" s="53"/>
      <c r="P42" s="53"/>
      <c r="Q42" s="53">
        <f>N42-O42-P42</f>
        <v>1177136.1299899996</v>
      </c>
    </row>
    <row r="43" spans="1:22" ht="12.75" customHeight="1">
      <c r="A43" s="47" t="s">
        <v>17</v>
      </c>
      <c r="B43" s="48">
        <f>B41</f>
        <v>1.9509999999999994</v>
      </c>
      <c r="C43" s="48">
        <f>C41</f>
        <v>0</v>
      </c>
      <c r="D43" s="43"/>
      <c r="E43" s="173"/>
      <c r="F43" s="66">
        <v>119548854</v>
      </c>
      <c r="G43" s="53"/>
      <c r="H43" s="53">
        <f>F43*(B43-C43)/100</f>
        <v>2332398.1415399993</v>
      </c>
      <c r="I43" s="53">
        <f>F43*C43/100</f>
        <v>0</v>
      </c>
      <c r="J43" s="53">
        <v>0</v>
      </c>
      <c r="K43" s="53">
        <v>0</v>
      </c>
      <c r="L43" s="53">
        <f>G43+H43+I43-J43+K43</f>
        <v>2332398.1415399993</v>
      </c>
      <c r="M43" s="53">
        <v>0</v>
      </c>
      <c r="N43" s="53">
        <f>L43-M43</f>
        <v>2332398.1415399993</v>
      </c>
      <c r="O43" s="53">
        <v>0</v>
      </c>
      <c r="P43" s="53">
        <v>0</v>
      </c>
      <c r="Q43" s="53">
        <f>N43-O43-P43</f>
        <v>2332398.1415399993</v>
      </c>
      <c r="T43" s="266" t="s">
        <v>380</v>
      </c>
    </row>
    <row r="44" spans="1:22">
      <c r="A44" s="47" t="s">
        <v>18</v>
      </c>
      <c r="B44" s="48"/>
      <c r="C44" s="48"/>
      <c r="D44" s="43"/>
      <c r="E44" s="173"/>
      <c r="F44" s="4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T44" s="266" t="s">
        <v>381</v>
      </c>
    </row>
    <row r="45" spans="1:22">
      <c r="A45" s="67" t="s">
        <v>19</v>
      </c>
      <c r="B45" s="48">
        <f>B41</f>
        <v>1.9509999999999994</v>
      </c>
      <c r="C45" s="48">
        <f>C41</f>
        <v>0</v>
      </c>
      <c r="D45" s="43"/>
      <c r="E45" s="173"/>
      <c r="F45" s="43">
        <v>48793546.960000001</v>
      </c>
      <c r="G45" s="541">
        <v>422138.82</v>
      </c>
      <c r="H45" s="541">
        <v>549605.79</v>
      </c>
      <c r="I45" s="53">
        <v>0</v>
      </c>
      <c r="J45" s="53">
        <v>19782.52</v>
      </c>
      <c r="K45" s="53">
        <v>0</v>
      </c>
      <c r="L45" s="53">
        <f>G45+H45+I45-J45+K45</f>
        <v>951962.09000000008</v>
      </c>
      <c r="M45" s="53">
        <v>324391.81</v>
      </c>
      <c r="N45" s="53">
        <f>L45-M45</f>
        <v>627570.28</v>
      </c>
      <c r="O45" s="53">
        <v>0</v>
      </c>
      <c r="P45" s="53">
        <v>102140.51</v>
      </c>
      <c r="Q45" s="53">
        <f>N45-O45-P45</f>
        <v>525429.77</v>
      </c>
      <c r="T45" s="266"/>
    </row>
    <row r="46" spans="1:22">
      <c r="A46" s="67" t="s">
        <v>20</v>
      </c>
      <c r="B46" s="48">
        <f>B41</f>
        <v>1.9509999999999994</v>
      </c>
      <c r="C46" s="48">
        <f>C41</f>
        <v>0</v>
      </c>
      <c r="D46" s="43"/>
      <c r="E46" s="173"/>
      <c r="F46" s="43">
        <v>2518146.85</v>
      </c>
      <c r="G46" s="53">
        <v>44700.3</v>
      </c>
      <c r="H46" s="53">
        <v>4428.76</v>
      </c>
      <c r="I46" s="53">
        <v>0</v>
      </c>
      <c r="J46" s="53">
        <v>0</v>
      </c>
      <c r="K46" s="53">
        <v>0</v>
      </c>
      <c r="L46" s="53">
        <f>G46+H46+I46-J46+K46</f>
        <v>49129.060000000005</v>
      </c>
      <c r="M46" s="53">
        <v>0</v>
      </c>
      <c r="N46" s="53">
        <f>L46-M46</f>
        <v>49129.060000000005</v>
      </c>
      <c r="O46" s="53">
        <v>0</v>
      </c>
      <c r="P46" s="53">
        <v>60.76</v>
      </c>
      <c r="Q46" s="53">
        <f>N46-O46-P46</f>
        <v>49068.3</v>
      </c>
      <c r="T46" s="153">
        <f>SUM(Q42:Q43,Q45:Q46)</f>
        <v>4084032.3415299985</v>
      </c>
    </row>
    <row r="47" spans="1:22">
      <c r="A47" s="47"/>
      <c r="B47" s="48"/>
      <c r="C47" s="48"/>
      <c r="D47" s="43"/>
      <c r="E47" s="173"/>
      <c r="F47" s="4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T47" s="266"/>
    </row>
    <row r="48" spans="1:22" s="50" customFormat="1" ht="13.5" thickBot="1">
      <c r="A48" s="60" t="str">
        <f>"TOTAL "&amp;A41</f>
        <v>TOTAL GENERAL TOTAL</v>
      </c>
      <c r="B48" s="68">
        <f>B41</f>
        <v>1.9509999999999994</v>
      </c>
      <c r="C48" s="68">
        <f>C41</f>
        <v>0</v>
      </c>
      <c r="D48" s="69">
        <f t="shared" ref="D48:Q48" si="20">SUM(D41:D43,D45:D46)</f>
        <v>7727</v>
      </c>
      <c r="E48" s="204"/>
      <c r="F48" s="69">
        <f t="shared" si="20"/>
        <v>599347172.16110206</v>
      </c>
      <c r="G48" s="70">
        <f t="shared" si="20"/>
        <v>1768867.2399899997</v>
      </c>
      <c r="H48" s="70">
        <f t="shared" si="20"/>
        <v>9967087.741539998</v>
      </c>
      <c r="I48" s="70">
        <f t="shared" si="20"/>
        <v>0</v>
      </c>
      <c r="J48" s="70">
        <f t="shared" si="20"/>
        <v>41799.709999999992</v>
      </c>
      <c r="K48" s="70">
        <f t="shared" si="20"/>
        <v>667.55000000000018</v>
      </c>
      <c r="L48" s="70">
        <f t="shared" si="20"/>
        <v>11694822.821529998</v>
      </c>
      <c r="M48" s="70">
        <f t="shared" si="20"/>
        <v>1357286.31</v>
      </c>
      <c r="N48" s="70">
        <f t="shared" si="20"/>
        <v>10337536.511529999</v>
      </c>
      <c r="O48" s="70">
        <f t="shared" si="20"/>
        <v>103257.44</v>
      </c>
      <c r="P48" s="70">
        <f t="shared" si="20"/>
        <v>240701.27000000002</v>
      </c>
      <c r="Q48" s="70">
        <f t="shared" si="20"/>
        <v>9993577.8015299998</v>
      </c>
    </row>
    <row r="49" spans="1:19" s="168" customFormat="1">
      <c r="A49" s="165" t="s">
        <v>28</v>
      </c>
      <c r="B49" s="166"/>
      <c r="C49" s="166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</row>
    <row r="50" spans="1:19" s="168" customFormat="1">
      <c r="A50" s="200" t="s">
        <v>29</v>
      </c>
      <c r="B50" s="166"/>
      <c r="C50" s="166"/>
      <c r="D50" s="167"/>
      <c r="E50" s="167"/>
      <c r="F50" s="167">
        <v>6120691</v>
      </c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</row>
    <row r="51" spans="1:19" s="168" customFormat="1">
      <c r="A51" s="200" t="s">
        <v>15</v>
      </c>
      <c r="B51" s="166"/>
      <c r="C51" s="166"/>
      <c r="D51" s="167"/>
      <c r="E51" s="260" t="s">
        <v>372</v>
      </c>
      <c r="F51" s="169">
        <v>361889500</v>
      </c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</row>
    <row r="52" spans="1:19" s="168" customFormat="1">
      <c r="A52" s="200"/>
      <c r="B52" s="166"/>
      <c r="C52" s="166"/>
      <c r="D52" s="167"/>
      <c r="E52" s="167">
        <v>6698776</v>
      </c>
      <c r="F52" s="167">
        <f>F50+F51</f>
        <v>368010191</v>
      </c>
      <c r="G52" s="167"/>
      <c r="H52" s="464">
        <f>H28-F52</f>
        <v>187136.01178896427</v>
      </c>
      <c r="I52" s="167"/>
      <c r="J52" s="167"/>
      <c r="K52" s="167"/>
      <c r="L52" s="167"/>
      <c r="M52" s="167"/>
      <c r="N52" s="167"/>
      <c r="O52" s="167"/>
      <c r="P52" s="167"/>
      <c r="Q52" s="167"/>
    </row>
    <row r="53" spans="1:19" s="168" customFormat="1">
      <c r="A53" s="200" t="s">
        <v>30</v>
      </c>
      <c r="B53" s="166"/>
      <c r="C53" s="166"/>
      <c r="D53" s="167"/>
      <c r="E53" s="167">
        <f>+F53-E52</f>
        <v>-6557357</v>
      </c>
      <c r="F53" s="74">
        <f>F41-F52</f>
        <v>141419</v>
      </c>
      <c r="G53" s="170">
        <f>F53/F52</f>
        <v>3.8428011902529079E-4</v>
      </c>
      <c r="H53" s="167"/>
      <c r="I53" s="167"/>
      <c r="J53" s="167"/>
      <c r="K53" s="167"/>
      <c r="L53" s="167"/>
      <c r="M53" s="167"/>
      <c r="N53" s="167"/>
      <c r="O53" s="167"/>
      <c r="P53" s="167"/>
      <c r="Q53" s="167"/>
    </row>
    <row r="54" spans="1:19" s="174" customFormat="1">
      <c r="A54" s="171"/>
      <c r="B54" s="172"/>
      <c r="C54" s="172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1:19" s="174" customFormat="1">
      <c r="A55" s="75" t="s">
        <v>355</v>
      </c>
      <c r="B55" s="172"/>
      <c r="C55" s="172"/>
      <c r="D55" s="175"/>
      <c r="E55" s="175"/>
      <c r="F55" s="173">
        <v>595855511</v>
      </c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1:19" s="174" customFormat="1">
      <c r="A56" s="76" t="s">
        <v>30</v>
      </c>
      <c r="B56" s="172"/>
      <c r="C56" s="172"/>
      <c r="D56" s="77"/>
      <c r="E56" s="77"/>
      <c r="F56" s="77">
        <f>F48-F55</f>
        <v>3491661.1611020565</v>
      </c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1:19">
      <c r="A57" s="47"/>
      <c r="B57" s="48"/>
      <c r="C57" s="48"/>
      <c r="D57" s="43"/>
      <c r="E57" s="17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9">
      <c r="A58" s="54" t="s">
        <v>13</v>
      </c>
      <c r="B58" s="51"/>
      <c r="C58" s="51"/>
      <c r="D58" s="52"/>
      <c r="E58" s="203"/>
      <c r="F58" s="52"/>
      <c r="G58" s="64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1:19">
      <c r="A59" s="47"/>
      <c r="B59" s="48"/>
      <c r="C59" s="48"/>
      <c r="D59" s="43"/>
      <c r="E59" s="65">
        <v>66736449</v>
      </c>
      <c r="F59" s="4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</row>
    <row r="60" spans="1:19">
      <c r="A60" s="49" t="s">
        <v>15</v>
      </c>
      <c r="B60" s="48">
        <v>0.75</v>
      </c>
      <c r="C60" s="48">
        <v>0</v>
      </c>
      <c r="D60" s="336">
        <v>7727</v>
      </c>
      <c r="E60" s="173">
        <f>G60/B60*100</f>
        <v>6401686.666666667</v>
      </c>
      <c r="F60" s="43">
        <v>368151610</v>
      </c>
      <c r="G60" s="53">
        <v>48012.65</v>
      </c>
      <c r="H60" s="53">
        <v>2721940.48</v>
      </c>
      <c r="I60" s="53">
        <v>0</v>
      </c>
      <c r="J60" s="53">
        <v>8463.93</v>
      </c>
      <c r="K60" s="53">
        <v>256.58999999999997</v>
      </c>
      <c r="L60" s="53">
        <f t="shared" ref="L60:L65" si="21">G60+H60+I60-J60+K60</f>
        <v>2761745.7899999996</v>
      </c>
      <c r="M60" s="53">
        <v>397060.07</v>
      </c>
      <c r="N60" s="53">
        <f>L60-M60</f>
        <v>2364685.7199999997</v>
      </c>
      <c r="O60" s="53">
        <v>39694.28</v>
      </c>
      <c r="P60" s="53">
        <v>53000</v>
      </c>
      <c r="Q60" s="53">
        <f>N60-O60-P60</f>
        <v>2271991.44</v>
      </c>
    </row>
    <row r="61" spans="1:19">
      <c r="A61" s="47" t="s">
        <v>16</v>
      </c>
      <c r="B61" s="48">
        <f>B60</f>
        <v>0.75</v>
      </c>
      <c r="C61" s="48"/>
      <c r="D61" s="43"/>
      <c r="E61" s="173"/>
      <c r="F61" s="65">
        <f>IF(E59&gt;E60,E59-E60,0)</f>
        <v>60334762.333333336</v>
      </c>
      <c r="G61" s="53">
        <f>F61*(B61-C61)/100</f>
        <v>452510.71750000003</v>
      </c>
      <c r="H61" s="53"/>
      <c r="I61" s="53">
        <f>F61*C61/100</f>
        <v>0</v>
      </c>
      <c r="J61" s="53"/>
      <c r="K61" s="53"/>
      <c r="L61" s="53">
        <f t="shared" si="21"/>
        <v>452510.71750000003</v>
      </c>
      <c r="M61" s="53"/>
      <c r="N61" s="53">
        <f>L61-M61</f>
        <v>452510.71750000003</v>
      </c>
      <c r="O61" s="53"/>
      <c r="P61" s="53"/>
      <c r="Q61" s="53">
        <f>N61-O61-P61</f>
        <v>452510.71750000003</v>
      </c>
    </row>
    <row r="62" spans="1:19">
      <c r="A62" s="47" t="s">
        <v>17</v>
      </c>
      <c r="B62" s="48">
        <f>B60</f>
        <v>0.75</v>
      </c>
      <c r="C62" s="48"/>
      <c r="D62" s="43"/>
      <c r="E62" s="173"/>
      <c r="F62" s="66">
        <v>119548854</v>
      </c>
      <c r="G62" s="53"/>
      <c r="H62" s="53">
        <f>F62*(B62-C62)/100</f>
        <v>896616.40500000003</v>
      </c>
      <c r="I62" s="53">
        <f>F62*C62/100</f>
        <v>0</v>
      </c>
      <c r="J62" s="53">
        <v>0</v>
      </c>
      <c r="K62" s="53">
        <v>0</v>
      </c>
      <c r="L62" s="53">
        <f t="shared" si="21"/>
        <v>896616.40500000003</v>
      </c>
      <c r="M62" s="53">
        <v>0</v>
      </c>
      <c r="N62" s="53">
        <f>L62-M62</f>
        <v>896616.40500000003</v>
      </c>
      <c r="O62" s="53">
        <v>0</v>
      </c>
      <c r="P62" s="53">
        <v>0</v>
      </c>
      <c r="Q62" s="53">
        <f>N62-O62-P62</f>
        <v>896616.40500000003</v>
      </c>
    </row>
    <row r="63" spans="1:19">
      <c r="A63" s="47" t="s">
        <v>18</v>
      </c>
      <c r="B63" s="48"/>
      <c r="C63" s="48"/>
      <c r="D63" s="43"/>
      <c r="E63" s="173"/>
      <c r="F63" s="4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</row>
    <row r="64" spans="1:19">
      <c r="A64" s="67" t="s">
        <v>19</v>
      </c>
      <c r="B64" s="48">
        <f>B60</f>
        <v>0.75</v>
      </c>
      <c r="C64" s="48"/>
      <c r="D64" s="43"/>
      <c r="E64" s="173"/>
      <c r="F64" s="43">
        <v>48793546.960000001</v>
      </c>
      <c r="G64" s="53">
        <f>216154.13*S67</f>
        <v>162277.87537537536</v>
      </c>
      <c r="H64" s="53">
        <f>281422.98*S67</f>
        <v>211278.51351351349</v>
      </c>
      <c r="I64" s="53">
        <v>0</v>
      </c>
      <c r="J64" s="53">
        <f>10129.55*S67</f>
        <v>7604.7672672672661</v>
      </c>
      <c r="K64" s="53">
        <v>0</v>
      </c>
      <c r="L64" s="53">
        <f t="shared" si="21"/>
        <v>365951.6216216216</v>
      </c>
      <c r="M64" s="53">
        <f>166103.3*S67</f>
        <v>124702.17717717716</v>
      </c>
      <c r="N64" s="53">
        <f>L64-M64</f>
        <v>241249.44444444444</v>
      </c>
      <c r="O64" s="53">
        <v>0</v>
      </c>
      <c r="P64" s="53">
        <f>52300.51*S67</f>
        <v>39264.647147147145</v>
      </c>
      <c r="Q64" s="53">
        <f>N64-O64-P64</f>
        <v>201984.79729729728</v>
      </c>
      <c r="S64" s="381">
        <f>Q65-G65</f>
        <v>1679.1441441441457</v>
      </c>
    </row>
    <row r="65" spans="1:22">
      <c r="A65" s="67" t="s">
        <v>20</v>
      </c>
      <c r="B65" s="48">
        <f>B60</f>
        <v>0.75</v>
      </c>
      <c r="C65" s="48"/>
      <c r="D65" s="43"/>
      <c r="E65" s="173"/>
      <c r="F65" s="43">
        <v>2518146.85</v>
      </c>
      <c r="G65" s="53">
        <f>22888.57*S67</f>
        <v>17183.611111111109</v>
      </c>
      <c r="H65" s="53">
        <f>2267.73*S67</f>
        <v>1702.5</v>
      </c>
      <c r="I65" s="53">
        <v>0</v>
      </c>
      <c r="J65" s="53"/>
      <c r="K65" s="53">
        <v>0</v>
      </c>
      <c r="L65" s="53">
        <f t="shared" si="21"/>
        <v>18886.111111111109</v>
      </c>
      <c r="M65" s="53">
        <v>0</v>
      </c>
      <c r="N65" s="53">
        <f>L65-M65</f>
        <v>18886.111111111109</v>
      </c>
      <c r="O65" s="53">
        <v>0</v>
      </c>
      <c r="P65" s="53">
        <f>31.11*S67</f>
        <v>23.355855855855854</v>
      </c>
      <c r="Q65" s="53">
        <f>N65-O65-P65</f>
        <v>18862.755255255255</v>
      </c>
      <c r="S65" s="381">
        <f>G65</f>
        <v>17183.611111111109</v>
      </c>
    </row>
    <row r="66" spans="1:22">
      <c r="A66" s="47"/>
      <c r="B66" s="48"/>
      <c r="C66" s="48"/>
      <c r="D66" s="43"/>
      <c r="E66" s="173"/>
      <c r="F66" s="4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</row>
    <row r="67" spans="1:22" s="50" customFormat="1">
      <c r="A67" s="57" t="s">
        <v>31</v>
      </c>
      <c r="B67" s="51">
        <f>B60</f>
        <v>0.75</v>
      </c>
      <c r="C67" s="51">
        <f>C60</f>
        <v>0</v>
      </c>
      <c r="D67" s="78">
        <f t="shared" ref="D67:Q67" si="22">SUM(D60:D62,D64:D65)</f>
        <v>7727</v>
      </c>
      <c r="E67" s="206"/>
      <c r="F67" s="78">
        <f t="shared" si="22"/>
        <v>599346920.14333332</v>
      </c>
      <c r="G67" s="79">
        <f t="shared" si="22"/>
        <v>679984.85398648656</v>
      </c>
      <c r="H67" s="79">
        <f t="shared" si="22"/>
        <v>3831537.8985135132</v>
      </c>
      <c r="I67" s="79">
        <f t="shared" si="22"/>
        <v>0</v>
      </c>
      <c r="J67" s="79">
        <f t="shared" si="22"/>
        <v>16068.697267267267</v>
      </c>
      <c r="K67" s="79">
        <f t="shared" si="22"/>
        <v>256.58999999999997</v>
      </c>
      <c r="L67" s="79">
        <f t="shared" si="22"/>
        <v>4495710.6452327324</v>
      </c>
      <c r="M67" s="79">
        <f t="shared" si="22"/>
        <v>521762.24717717717</v>
      </c>
      <c r="N67" s="79">
        <f t="shared" si="22"/>
        <v>3973948.3980555558</v>
      </c>
      <c r="O67" s="79">
        <f t="shared" si="22"/>
        <v>39694.28</v>
      </c>
      <c r="P67" s="79">
        <f t="shared" si="22"/>
        <v>92288.003003003003</v>
      </c>
      <c r="Q67" s="79">
        <f t="shared" si="22"/>
        <v>3841966.1150525524</v>
      </c>
      <c r="S67" s="183">
        <f>B67/B81</f>
        <v>0.75075075075075071</v>
      </c>
    </row>
    <row r="68" spans="1:22">
      <c r="A68" s="47"/>
      <c r="B68" s="48"/>
      <c r="C68" s="48"/>
      <c r="D68" s="43"/>
      <c r="E68" s="173"/>
      <c r="F68" s="43"/>
      <c r="G68" s="43"/>
      <c r="H68" s="43"/>
      <c r="I68" s="43"/>
      <c r="J68" s="43"/>
      <c r="K68" s="43"/>
      <c r="L68" s="505" t="s">
        <v>388</v>
      </c>
      <c r="M68" s="506">
        <f>M67/L67</f>
        <v>0.11605779115932555</v>
      </c>
      <c r="N68" s="43"/>
      <c r="O68" s="43"/>
      <c r="P68" s="43"/>
      <c r="Q68" s="43"/>
    </row>
    <row r="69" spans="1:22">
      <c r="A69" s="47"/>
      <c r="B69" s="48"/>
      <c r="C69" s="48"/>
      <c r="D69" s="43"/>
      <c r="E69" s="173"/>
      <c r="F69" s="43"/>
      <c r="G69" s="81">
        <f>G64+G76</f>
        <v>216154.12999999998</v>
      </c>
      <c r="H69" s="81">
        <f>H64+H76</f>
        <v>281422.98</v>
      </c>
      <c r="I69" s="81">
        <f t="shared" ref="H69:Q70" si="23">I64+I76</f>
        <v>0</v>
      </c>
      <c r="J69" s="81">
        <f>J64+J76</f>
        <v>10129.549999999999</v>
      </c>
      <c r="K69" s="81">
        <f>K64+K76</f>
        <v>0</v>
      </c>
      <c r="L69" s="81">
        <f>L64+L76</f>
        <v>487447.55999999994</v>
      </c>
      <c r="M69" s="81">
        <f>M64+M76</f>
        <v>166103.29999999999</v>
      </c>
      <c r="N69" s="81">
        <f>N64+N76</f>
        <v>321344.26</v>
      </c>
      <c r="O69" s="81">
        <f t="shared" si="23"/>
        <v>0</v>
      </c>
      <c r="P69" s="81">
        <f t="shared" si="23"/>
        <v>52300.509999999995</v>
      </c>
      <c r="Q69" s="81">
        <f t="shared" si="23"/>
        <v>269043.75</v>
      </c>
    </row>
    <row r="70" spans="1:22">
      <c r="A70" s="54" t="s">
        <v>32</v>
      </c>
      <c r="B70" s="48"/>
      <c r="C70" s="48"/>
      <c r="D70" s="43"/>
      <c r="E70" s="173"/>
      <c r="F70" s="49"/>
      <c r="G70" s="81">
        <f>G65+G77</f>
        <v>22888.57</v>
      </c>
      <c r="H70" s="81">
        <f t="shared" si="23"/>
        <v>2267.73</v>
      </c>
      <c r="I70" s="81">
        <f t="shared" si="23"/>
        <v>0</v>
      </c>
      <c r="J70" s="81">
        <f t="shared" si="23"/>
        <v>0</v>
      </c>
      <c r="K70" s="81">
        <f t="shared" si="23"/>
        <v>0</v>
      </c>
      <c r="L70" s="81">
        <f t="shared" si="23"/>
        <v>25156.299999999996</v>
      </c>
      <c r="M70" s="81">
        <f t="shared" si="23"/>
        <v>0</v>
      </c>
      <c r="N70" s="81">
        <f t="shared" si="23"/>
        <v>25156.299999999996</v>
      </c>
      <c r="O70" s="81">
        <f t="shared" si="23"/>
        <v>0</v>
      </c>
      <c r="P70" s="81">
        <f t="shared" si="23"/>
        <v>31.11</v>
      </c>
      <c r="Q70" s="81">
        <f t="shared" si="23"/>
        <v>25125.19</v>
      </c>
    </row>
    <row r="71" spans="1:22">
      <c r="A71" s="47"/>
      <c r="B71" s="48"/>
      <c r="C71" s="48"/>
      <c r="D71" s="43"/>
      <c r="E71" s="65">
        <v>66736449</v>
      </c>
      <c r="F71" s="43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22">
      <c r="A72" s="49" t="s">
        <v>15</v>
      </c>
      <c r="B72" s="48">
        <v>0.249</v>
      </c>
      <c r="C72" s="48">
        <v>0</v>
      </c>
      <c r="D72" s="336">
        <v>7727</v>
      </c>
      <c r="E72" s="173">
        <f>G72/B72*100</f>
        <v>6401481.9277108433</v>
      </c>
      <c r="F72" s="43">
        <v>368151610</v>
      </c>
      <c r="G72" s="53">
        <v>15939.69</v>
      </c>
      <c r="H72" s="53">
        <v>903680.73</v>
      </c>
      <c r="I72" s="53">
        <v>0</v>
      </c>
      <c r="J72" s="508">
        <v>2809.62</v>
      </c>
      <c r="K72" s="509">
        <v>85.18</v>
      </c>
      <c r="L72" s="53">
        <f>G72+H72+I72-J72+K72</f>
        <v>916895.98</v>
      </c>
      <c r="M72" s="53">
        <v>131824.48000000001</v>
      </c>
      <c r="N72" s="53">
        <f>L72-M72</f>
        <v>785071.5</v>
      </c>
      <c r="O72" s="53">
        <v>13178.51</v>
      </c>
      <c r="P72" s="53">
        <v>17000</v>
      </c>
      <c r="Q72" s="53">
        <f>N72-O72-P72</f>
        <v>754892.99</v>
      </c>
    </row>
    <row r="73" spans="1:22">
      <c r="A73" s="47" t="s">
        <v>16</v>
      </c>
      <c r="B73" s="48">
        <f>B72</f>
        <v>0.249</v>
      </c>
      <c r="C73" s="48"/>
      <c r="D73" s="43"/>
      <c r="E73" s="173"/>
      <c r="F73" s="65">
        <f>IF(E71&gt;E72,E71-E72,0)</f>
        <v>60334967.072289154</v>
      </c>
      <c r="G73" s="53">
        <f>F73*(B73-C73)/100</f>
        <v>150234.06800999999</v>
      </c>
      <c r="H73" s="53"/>
      <c r="I73" s="53">
        <f>F73*C73/100</f>
        <v>0</v>
      </c>
      <c r="J73" s="53"/>
      <c r="K73" s="53"/>
      <c r="L73" s="53">
        <f>G73+H73+I73-J73+K73</f>
        <v>150234.06800999999</v>
      </c>
      <c r="M73" s="53"/>
      <c r="N73" s="53">
        <f>L73-M73</f>
        <v>150234.06800999999</v>
      </c>
      <c r="O73" s="53"/>
      <c r="P73" s="53"/>
      <c r="Q73" s="53">
        <f>N73-O73-P73</f>
        <v>150234.06800999999</v>
      </c>
    </row>
    <row r="74" spans="1:22">
      <c r="A74" s="47" t="s">
        <v>17</v>
      </c>
      <c r="B74" s="48">
        <f>B72</f>
        <v>0.249</v>
      </c>
      <c r="C74" s="48"/>
      <c r="D74" s="43"/>
      <c r="E74" s="173"/>
      <c r="F74" s="66">
        <v>119548854</v>
      </c>
      <c r="G74" s="53"/>
      <c r="H74" s="53">
        <f>F74*(B74-C74)/100</f>
        <v>297676.64646000002</v>
      </c>
      <c r="I74" s="53">
        <f>F74*C74/100</f>
        <v>0</v>
      </c>
      <c r="J74" s="53">
        <v>0</v>
      </c>
      <c r="K74" s="53">
        <v>0</v>
      </c>
      <c r="L74" s="53">
        <f>G74+H74+I74-J74+K74</f>
        <v>297676.64646000002</v>
      </c>
      <c r="M74" s="53">
        <v>0</v>
      </c>
      <c r="N74" s="53">
        <f>L74-M74</f>
        <v>297676.64646000002</v>
      </c>
      <c r="O74" s="53">
        <v>0</v>
      </c>
      <c r="P74" s="53">
        <v>0</v>
      </c>
      <c r="Q74" s="53">
        <f>N74-O74-P74</f>
        <v>297676.64646000002</v>
      </c>
    </row>
    <row r="75" spans="1:22">
      <c r="A75" s="47" t="s">
        <v>18</v>
      </c>
      <c r="B75" s="48"/>
      <c r="C75" s="48"/>
      <c r="D75" s="43"/>
      <c r="E75" s="173"/>
      <c r="F75" s="4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V75" s="53">
        <f>+Q64+Q76</f>
        <v>269043.75</v>
      </c>
    </row>
    <row r="76" spans="1:22">
      <c r="A76" s="67" t="s">
        <v>19</v>
      </c>
      <c r="B76" s="48">
        <f>B72</f>
        <v>0.249</v>
      </c>
      <c r="C76" s="48"/>
      <c r="D76" s="43"/>
      <c r="E76" s="173"/>
      <c r="F76" s="43">
        <v>48793546.960000001</v>
      </c>
      <c r="G76" s="53">
        <f>216154.13*S79</f>
        <v>53876.25462462462</v>
      </c>
      <c r="H76" s="53">
        <f>281422.98*S79</f>
        <v>70144.466486486475</v>
      </c>
      <c r="I76" s="53">
        <v>0</v>
      </c>
      <c r="J76" s="53">
        <f>10129.55*S79</f>
        <v>2524.7827327327323</v>
      </c>
      <c r="K76" s="53">
        <v>0</v>
      </c>
      <c r="L76" s="53">
        <f t="shared" ref="L76" si="24">G76+H76+I76-J76+K76</f>
        <v>121495.93837837837</v>
      </c>
      <c r="M76" s="53">
        <f>166103.3*S79</f>
        <v>41401.122822822821</v>
      </c>
      <c r="N76" s="53">
        <f>L76-M76</f>
        <v>80094.815555555542</v>
      </c>
      <c r="O76" s="53">
        <v>0</v>
      </c>
      <c r="P76" s="53">
        <f>52300.51*S79</f>
        <v>13035.862852852853</v>
      </c>
      <c r="Q76" s="53">
        <f>N76-O76-P76</f>
        <v>67058.952702702692</v>
      </c>
      <c r="S76" s="381">
        <f>+Q76+Q64</f>
        <v>269043.75</v>
      </c>
    </row>
    <row r="77" spans="1:22">
      <c r="A77" s="67" t="s">
        <v>20</v>
      </c>
      <c r="B77" s="48">
        <f>B72</f>
        <v>0.249</v>
      </c>
      <c r="C77" s="48"/>
      <c r="D77" s="43"/>
      <c r="E77" s="173"/>
      <c r="F77" s="43">
        <v>2518146.85</v>
      </c>
      <c r="G77" s="53">
        <f>22888.57*S79</f>
        <v>5704.9588888888884</v>
      </c>
      <c r="H77" s="53">
        <f>2267.73*S79</f>
        <v>565.23</v>
      </c>
      <c r="I77" s="53">
        <v>0</v>
      </c>
      <c r="J77" s="53">
        <v>0</v>
      </c>
      <c r="K77" s="53">
        <v>0</v>
      </c>
      <c r="L77" s="53">
        <f t="shared" ref="L77" si="25">G77+H77+I77-J77+K77</f>
        <v>6270.188888888888</v>
      </c>
      <c r="M77" s="53">
        <v>0</v>
      </c>
      <c r="N77" s="53">
        <f>L77-M77</f>
        <v>6270.188888888888</v>
      </c>
      <c r="O77" s="53">
        <v>0</v>
      </c>
      <c r="P77" s="53">
        <f>31.11*S79</f>
        <v>7.7541441441441439</v>
      </c>
      <c r="Q77" s="53">
        <f>N77-O77-P77</f>
        <v>6262.4347447447435</v>
      </c>
      <c r="S77" s="53">
        <f>+Q77+Q65</f>
        <v>25125.19</v>
      </c>
    </row>
    <row r="78" spans="1:22">
      <c r="A78" s="47"/>
      <c r="B78" s="48"/>
      <c r="C78" s="48"/>
      <c r="D78" s="43"/>
      <c r="E78" s="173"/>
      <c r="F78" s="4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22" s="50" customFormat="1">
      <c r="A79" s="57" t="str">
        <f>"TOTAL "&amp;A70</f>
        <v>TOTAL SCHOOL DEBT</v>
      </c>
      <c r="B79" s="51">
        <f>B72</f>
        <v>0.249</v>
      </c>
      <c r="C79" s="51">
        <f>C72</f>
        <v>0</v>
      </c>
      <c r="D79" s="78">
        <f t="shared" ref="D79:Q79" si="26">SUM(D72:D74,D76:D77)</f>
        <v>7727</v>
      </c>
      <c r="E79" s="206"/>
      <c r="F79" s="78">
        <f t="shared" si="26"/>
        <v>599347124.88228929</v>
      </c>
      <c r="G79" s="79">
        <f t="shared" si="26"/>
        <v>225754.97152351349</v>
      </c>
      <c r="H79" s="79">
        <f t="shared" si="26"/>
        <v>1272067.0729464863</v>
      </c>
      <c r="I79" s="79">
        <f t="shared" si="26"/>
        <v>0</v>
      </c>
      <c r="J79" s="79">
        <f t="shared" si="26"/>
        <v>5334.4027327327321</v>
      </c>
      <c r="K79" s="79">
        <f t="shared" si="26"/>
        <v>85.18</v>
      </c>
      <c r="L79" s="79">
        <f t="shared" si="26"/>
        <v>1492572.8217372671</v>
      </c>
      <c r="M79" s="79">
        <f t="shared" si="26"/>
        <v>173225.60282282284</v>
      </c>
      <c r="N79" s="79">
        <f t="shared" si="26"/>
        <v>1319347.2189144443</v>
      </c>
      <c r="O79" s="79">
        <f t="shared" si="26"/>
        <v>13178.51</v>
      </c>
      <c r="P79" s="79">
        <f t="shared" si="26"/>
        <v>30043.616996996996</v>
      </c>
      <c r="Q79" s="79">
        <f t="shared" si="26"/>
        <v>1276125.0919174475</v>
      </c>
      <c r="S79" s="183">
        <f>B79/B81</f>
        <v>0.24924924924924924</v>
      </c>
    </row>
    <row r="80" spans="1:22">
      <c r="A80" s="47"/>
      <c r="B80" s="48"/>
      <c r="C80" s="48"/>
      <c r="D80" s="43"/>
      <c r="E80" s="173"/>
      <c r="F80" s="4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17" s="50" customFormat="1" ht="13.5" thickBot="1">
      <c r="A81" s="60" t="str">
        <f>"TOTAL "&amp;A58</f>
        <v>TOTAL SCHOOL DISTRICT</v>
      </c>
      <c r="B81" s="68">
        <f>B67+B79</f>
        <v>0.999</v>
      </c>
      <c r="C81" s="68">
        <f>C67+C79</f>
        <v>0</v>
      </c>
      <c r="D81" s="69">
        <f>D67</f>
        <v>7727</v>
      </c>
      <c r="E81" s="204"/>
      <c r="F81" s="69">
        <f>F67</f>
        <v>599346920.14333332</v>
      </c>
      <c r="G81" s="70">
        <f t="shared" ref="G81:Q81" si="27">G67+G79</f>
        <v>905739.82551000011</v>
      </c>
      <c r="H81" s="70">
        <f t="shared" si="27"/>
        <v>5103604.9714599997</v>
      </c>
      <c r="I81" s="70">
        <f t="shared" si="27"/>
        <v>0</v>
      </c>
      <c r="J81" s="70">
        <f t="shared" si="27"/>
        <v>21403.1</v>
      </c>
      <c r="K81" s="70">
        <f t="shared" si="27"/>
        <v>341.77</v>
      </c>
      <c r="L81" s="70">
        <f t="shared" si="27"/>
        <v>5988283.4669699995</v>
      </c>
      <c r="M81" s="70">
        <f t="shared" si="27"/>
        <v>694987.85</v>
      </c>
      <c r="N81" s="70">
        <f t="shared" si="27"/>
        <v>5293295.6169699999</v>
      </c>
      <c r="O81" s="70">
        <f t="shared" si="27"/>
        <v>52872.79</v>
      </c>
      <c r="P81" s="70">
        <f t="shared" si="27"/>
        <v>122331.62</v>
      </c>
      <c r="Q81" s="70">
        <f t="shared" si="27"/>
        <v>5118091.2069699997</v>
      </c>
    </row>
    <row r="82" spans="1:17">
      <c r="A82" s="150" t="s">
        <v>355</v>
      </c>
      <c r="B82" s="48"/>
      <c r="C82" s="48"/>
      <c r="D82" s="43"/>
      <c r="E82" s="173"/>
      <c r="F82" s="64">
        <v>595855511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1:17">
      <c r="A83" s="151" t="s">
        <v>30</v>
      </c>
      <c r="B83" s="51"/>
      <c r="C83" s="51"/>
      <c r="D83" s="52"/>
      <c r="E83" s="203"/>
      <c r="F83" s="152">
        <f>F81-F82</f>
        <v>3491409.1433333158</v>
      </c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17">
      <c r="A84" s="15" t="s">
        <v>544</v>
      </c>
      <c r="B84" s="48"/>
      <c r="C84" s="48"/>
      <c r="D84" s="43"/>
      <c r="E84" s="173"/>
      <c r="F84" s="43"/>
      <c r="G84" s="64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1:17">
      <c r="A85" s="50"/>
      <c r="B85" s="51"/>
      <c r="C85" s="51"/>
      <c r="D85" s="52"/>
      <c r="E85" s="65">
        <v>66736449</v>
      </c>
      <c r="F85" s="5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17">
      <c r="A86" s="49" t="s">
        <v>15</v>
      </c>
      <c r="B86" s="48">
        <v>0.54</v>
      </c>
      <c r="C86" s="48">
        <v>0</v>
      </c>
      <c r="D86" s="43">
        <v>7727</v>
      </c>
      <c r="E86" s="173">
        <f>G86/B86*100</f>
        <v>6401551.8518518507</v>
      </c>
      <c r="F86" s="43">
        <v>368151610</v>
      </c>
      <c r="G86" s="53">
        <v>34568.379999999997</v>
      </c>
      <c r="H86" s="53">
        <v>1959789.78</v>
      </c>
      <c r="I86" s="53">
        <v>0</v>
      </c>
      <c r="J86" s="53">
        <v>6094.57</v>
      </c>
      <c r="K86" s="53">
        <v>184.75</v>
      </c>
      <c r="L86" s="53">
        <f>G86+H86+I86-J86+K86</f>
        <v>1988448.3399999999</v>
      </c>
      <c r="M86" s="53">
        <v>285878.73</v>
      </c>
      <c r="N86" s="53">
        <f>L86-M86</f>
        <v>1702569.6099999999</v>
      </c>
      <c r="O86" s="53">
        <v>28579.759999999998</v>
      </c>
      <c r="P86" s="53">
        <v>38000</v>
      </c>
      <c r="Q86" s="53">
        <f>N86-O86-P86</f>
        <v>1635989.8499999999</v>
      </c>
    </row>
    <row r="87" spans="1:17">
      <c r="A87" s="47" t="s">
        <v>16</v>
      </c>
      <c r="B87" s="48">
        <f>B86</f>
        <v>0.54</v>
      </c>
      <c r="C87" s="48"/>
      <c r="D87" s="43"/>
      <c r="E87" s="173"/>
      <c r="F87" s="65">
        <f>IF(E85&gt;E86,E85-E86,0)</f>
        <v>60334897.148148149</v>
      </c>
      <c r="G87" s="53">
        <f>F87*(B87-C87)/100</f>
        <v>325808.44459999999</v>
      </c>
      <c r="H87" s="53"/>
      <c r="I87" s="53">
        <f>F87*C87/100</f>
        <v>0</v>
      </c>
      <c r="J87" s="53"/>
      <c r="K87" s="53"/>
      <c r="L87" s="53">
        <f>G87+H87+I87-J87+K87</f>
        <v>325808.44459999999</v>
      </c>
      <c r="M87" s="53"/>
      <c r="N87" s="53">
        <f>L87-M87</f>
        <v>325808.44459999999</v>
      </c>
      <c r="O87" s="53"/>
      <c r="P87" s="53"/>
      <c r="Q87" s="53">
        <f>N87-O87-P87</f>
        <v>325808.44459999999</v>
      </c>
    </row>
    <row r="88" spans="1:17">
      <c r="A88" s="47" t="s">
        <v>17</v>
      </c>
      <c r="B88" s="48">
        <f>B86</f>
        <v>0.54</v>
      </c>
      <c r="C88" s="48"/>
      <c r="D88" s="43"/>
      <c r="E88" s="173"/>
      <c r="F88" s="66">
        <v>119548854</v>
      </c>
      <c r="G88" s="53"/>
      <c r="H88" s="53">
        <f>F88*(B88-C88)/100</f>
        <v>645563.81160000002</v>
      </c>
      <c r="I88" s="53">
        <f>F88*C88/100</f>
        <v>0</v>
      </c>
      <c r="J88" s="53">
        <v>0</v>
      </c>
      <c r="K88" s="53">
        <v>0</v>
      </c>
      <c r="L88" s="53">
        <f>G88+H88+I88-J88+K88</f>
        <v>645563.81160000002</v>
      </c>
      <c r="M88" s="53">
        <v>0</v>
      </c>
      <c r="N88" s="53">
        <f>L88-M88</f>
        <v>645563.81160000002</v>
      </c>
      <c r="O88" s="53">
        <v>0</v>
      </c>
      <c r="P88" s="53">
        <v>0</v>
      </c>
      <c r="Q88" s="53">
        <f>N88-O88-P88</f>
        <v>645563.81160000002</v>
      </c>
    </row>
    <row r="89" spans="1:17">
      <c r="A89" s="47" t="s">
        <v>18</v>
      </c>
      <c r="B89" s="48"/>
      <c r="C89" s="48"/>
      <c r="D89" s="43"/>
      <c r="E89" s="173"/>
      <c r="F89" s="4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1:17">
      <c r="A90" s="67" t="s">
        <v>19</v>
      </c>
      <c r="B90" s="48">
        <f>B86</f>
        <v>0.54</v>
      </c>
      <c r="C90" s="48"/>
      <c r="D90" s="43"/>
      <c r="E90" s="173"/>
      <c r="F90" s="43">
        <v>49802039.07</v>
      </c>
      <c r="G90" s="53">
        <v>116840.05</v>
      </c>
      <c r="H90" s="53">
        <v>152120.51</v>
      </c>
      <c r="I90" s="53">
        <v>0</v>
      </c>
      <c r="J90" s="53">
        <v>5475.43</v>
      </c>
      <c r="K90" s="53">
        <v>0</v>
      </c>
      <c r="L90" s="53">
        <f>G90+H90+I90-J90+K90</f>
        <v>263485.13</v>
      </c>
      <c r="M90" s="53">
        <v>89785.58</v>
      </c>
      <c r="N90" s="53">
        <f>L90-M90</f>
        <v>173699.55</v>
      </c>
      <c r="O90" s="53">
        <v>0</v>
      </c>
      <c r="P90" s="53">
        <v>28270.54</v>
      </c>
      <c r="Q90" s="53">
        <f>N90-O90-P90</f>
        <v>145429.00999999998</v>
      </c>
    </row>
    <row r="91" spans="1:17">
      <c r="A91" s="67" t="s">
        <v>20</v>
      </c>
      <c r="B91" s="48">
        <f>B86</f>
        <v>0.54</v>
      </c>
      <c r="C91" s="48"/>
      <c r="D91" s="43"/>
      <c r="E91" s="173"/>
      <c r="F91" s="43">
        <v>2518146.85</v>
      </c>
      <c r="G91" s="53">
        <v>12372.21</v>
      </c>
      <c r="H91" s="53">
        <v>1225.8</v>
      </c>
      <c r="I91" s="53">
        <v>0</v>
      </c>
      <c r="J91" s="53">
        <v>0</v>
      </c>
      <c r="K91" s="53">
        <v>0</v>
      </c>
      <c r="L91" s="53">
        <f>G91+H91+I91-J91+K91</f>
        <v>13598.009999999998</v>
      </c>
      <c r="M91" s="53">
        <v>0</v>
      </c>
      <c r="N91" s="53">
        <f>L91-M91</f>
        <v>13598.009999999998</v>
      </c>
      <c r="O91" s="53">
        <v>0</v>
      </c>
      <c r="P91" s="53">
        <v>16.82</v>
      </c>
      <c r="Q91" s="53">
        <f>N91-O91-P91</f>
        <v>13581.189999999999</v>
      </c>
    </row>
    <row r="92" spans="1:17">
      <c r="A92" s="47"/>
      <c r="B92" s="48"/>
      <c r="C92" s="48"/>
      <c r="D92" s="43"/>
      <c r="E92" s="173"/>
      <c r="F92" s="4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1:17" s="50" customFormat="1" ht="13.5" thickBot="1">
      <c r="A93" s="60" t="str">
        <f>"TOTAL "&amp;A84</f>
        <v>TOTAL WHITE PINE CO HOSPITAL DISTRICT</v>
      </c>
      <c r="B93" s="68">
        <f>B86</f>
        <v>0.54</v>
      </c>
      <c r="C93" s="68">
        <f>C86</f>
        <v>0</v>
      </c>
      <c r="D93" s="69">
        <f t="shared" ref="D93:Q93" si="28">SUM(D86:D88,D90:D91)</f>
        <v>7727</v>
      </c>
      <c r="E93" s="204"/>
      <c r="F93" s="69">
        <f t="shared" si="28"/>
        <v>600355547.06814826</v>
      </c>
      <c r="G93" s="70">
        <f t="shared" si="28"/>
        <v>489589.0846</v>
      </c>
      <c r="H93" s="70">
        <f t="shared" si="28"/>
        <v>2758699.9015999995</v>
      </c>
      <c r="I93" s="70">
        <f t="shared" si="28"/>
        <v>0</v>
      </c>
      <c r="J93" s="70">
        <f t="shared" si="28"/>
        <v>11570</v>
      </c>
      <c r="K93" s="70">
        <f t="shared" si="28"/>
        <v>184.75</v>
      </c>
      <c r="L93" s="70">
        <f t="shared" si="28"/>
        <v>3236903.7361999997</v>
      </c>
      <c r="M93" s="70">
        <f t="shared" si="28"/>
        <v>375664.31</v>
      </c>
      <c r="N93" s="70">
        <f t="shared" si="28"/>
        <v>2861239.4261999996</v>
      </c>
      <c r="O93" s="70">
        <f>SUM(O86:O88,O90:O91)</f>
        <v>28579.759999999998</v>
      </c>
      <c r="P93" s="70">
        <f>SUM(P86:P88,P90:P91)</f>
        <v>66287.360000000015</v>
      </c>
      <c r="Q93" s="70">
        <f t="shared" si="28"/>
        <v>2766372.3061999995</v>
      </c>
    </row>
    <row r="94" spans="1:17">
      <c r="A94" s="150" t="s">
        <v>355</v>
      </c>
      <c r="B94" s="48"/>
      <c r="C94" s="48"/>
      <c r="D94" s="43"/>
      <c r="E94" s="173"/>
      <c r="F94" s="64">
        <v>595855511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1:17">
      <c r="A95" s="151" t="s">
        <v>30</v>
      </c>
      <c r="B95" s="51"/>
      <c r="C95" s="51"/>
      <c r="D95" s="52"/>
      <c r="E95" s="203"/>
      <c r="F95" s="152">
        <f>F93-F94</f>
        <v>4500036.0681482553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1:17">
      <c r="B96" s="48"/>
      <c r="C96" s="48"/>
      <c r="D96" s="43"/>
      <c r="E96" s="17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7">
      <c r="A97" s="104"/>
    </row>
    <row r="98" spans="1:7">
      <c r="A98" s="83"/>
      <c r="B98" s="50"/>
      <c r="C98" s="50"/>
      <c r="D98" s="50"/>
      <c r="E98" s="211"/>
      <c r="F98" s="50"/>
      <c r="G98" s="50"/>
    </row>
    <row r="104" spans="1:7">
      <c r="A104" s="83"/>
      <c r="B104" s="85"/>
      <c r="C104" s="85"/>
      <c r="D104" s="85"/>
      <c r="E104" s="212"/>
      <c r="F104" s="85"/>
      <c r="G104" s="85"/>
    </row>
    <row r="107" spans="1:7">
      <c r="A107" s="50"/>
      <c r="B107" s="50"/>
      <c r="C107" s="50"/>
      <c r="D107" s="50"/>
      <c r="E107" s="211"/>
      <c r="F107" s="50"/>
      <c r="G107" s="50"/>
    </row>
    <row r="108" spans="1:7">
      <c r="A108" s="50"/>
    </row>
    <row r="109" spans="1:7">
      <c r="A109" s="50"/>
      <c r="B109" s="50"/>
      <c r="C109" s="50"/>
      <c r="D109" s="50"/>
      <c r="E109" s="211"/>
      <c r="F109" s="50"/>
      <c r="G109" s="50"/>
    </row>
    <row r="115" spans="1:7">
      <c r="A115" s="50"/>
      <c r="B115" s="84"/>
      <c r="C115" s="84"/>
      <c r="D115" s="84"/>
      <c r="E115" s="210"/>
      <c r="F115" s="84"/>
      <c r="G115" s="84"/>
    </row>
    <row r="117" spans="1:7">
      <c r="A117" s="50"/>
      <c r="B117" s="50"/>
      <c r="C117" s="50"/>
      <c r="D117" s="50"/>
      <c r="E117" s="211"/>
      <c r="F117" s="50"/>
      <c r="G117" s="50"/>
    </row>
    <row r="122" spans="1:7">
      <c r="A122" s="83"/>
      <c r="B122" s="84"/>
      <c r="C122" s="84"/>
      <c r="D122" s="84"/>
      <c r="E122" s="210"/>
      <c r="F122" s="84"/>
      <c r="G122" s="84"/>
    </row>
    <row r="124" spans="1:7">
      <c r="A124" s="50"/>
      <c r="B124" s="50"/>
      <c r="C124" s="50"/>
      <c r="D124" s="50"/>
      <c r="E124" s="211"/>
      <c r="F124" s="50"/>
      <c r="G124" s="50"/>
    </row>
    <row r="129" spans="1:7">
      <c r="A129" s="83"/>
      <c r="B129" s="84"/>
      <c r="C129" s="84"/>
      <c r="D129" s="84"/>
      <c r="E129" s="210"/>
      <c r="F129" s="84"/>
      <c r="G129" s="84"/>
    </row>
    <row r="131" spans="1:7">
      <c r="A131" s="50"/>
      <c r="B131" s="50"/>
      <c r="C131" s="50"/>
      <c r="D131" s="50"/>
      <c r="E131" s="211"/>
      <c r="F131" s="50"/>
      <c r="G131" s="50"/>
    </row>
    <row r="136" spans="1:7">
      <c r="A136" s="83"/>
      <c r="B136" s="84"/>
      <c r="C136" s="84"/>
      <c r="D136" s="84"/>
      <c r="E136" s="210"/>
      <c r="F136" s="84"/>
      <c r="G136" s="84"/>
    </row>
    <row r="138" spans="1:7">
      <c r="A138" s="50"/>
      <c r="B138" s="50"/>
      <c r="C138" s="50"/>
      <c r="D138" s="50"/>
      <c r="E138" s="211"/>
      <c r="F138" s="50"/>
      <c r="G138" s="50"/>
    </row>
    <row r="144" spans="1:7">
      <c r="A144" s="83"/>
      <c r="B144" s="85"/>
      <c r="C144" s="85"/>
      <c r="D144" s="85"/>
      <c r="E144" s="212"/>
      <c r="F144" s="85"/>
      <c r="G144" s="85"/>
    </row>
    <row r="147" spans="1:7">
      <c r="A147" s="50"/>
      <c r="B147" s="50"/>
      <c r="C147" s="50"/>
      <c r="D147" s="50"/>
      <c r="E147" s="211"/>
      <c r="F147" s="50"/>
      <c r="G147" s="50"/>
    </row>
    <row r="148" spans="1:7">
      <c r="A148" s="50"/>
    </row>
    <row r="149" spans="1:7">
      <c r="A149" s="50"/>
      <c r="B149" s="50"/>
      <c r="C149" s="50"/>
      <c r="D149" s="50"/>
      <c r="E149" s="211"/>
      <c r="F149" s="50"/>
      <c r="G149" s="50"/>
    </row>
    <row r="155" spans="1:7">
      <c r="A155" s="50"/>
      <c r="B155" s="84"/>
      <c r="C155" s="84"/>
      <c r="D155" s="84"/>
      <c r="E155" s="210"/>
      <c r="F155" s="84"/>
      <c r="G155" s="84"/>
    </row>
    <row r="157" spans="1:7">
      <c r="A157" s="50"/>
      <c r="B157" s="50"/>
      <c r="C157" s="50"/>
      <c r="D157" s="50"/>
      <c r="E157" s="211"/>
      <c r="F157" s="50"/>
      <c r="G157" s="50"/>
    </row>
    <row r="162" spans="1:7">
      <c r="A162" s="83"/>
      <c r="B162" s="84"/>
      <c r="C162" s="84"/>
      <c r="D162" s="84"/>
      <c r="E162" s="210"/>
      <c r="F162" s="84"/>
      <c r="G162" s="84"/>
    </row>
    <row r="164" spans="1:7">
      <c r="A164" s="50"/>
      <c r="B164" s="50"/>
      <c r="C164" s="50"/>
      <c r="D164" s="50"/>
      <c r="E164" s="211"/>
      <c r="F164" s="50"/>
      <c r="G164" s="50"/>
    </row>
    <row r="169" spans="1:7">
      <c r="A169" s="83"/>
      <c r="B169" s="84"/>
      <c r="C169" s="84"/>
      <c r="D169" s="84"/>
      <c r="E169" s="210"/>
      <c r="F169" s="84"/>
      <c r="G169" s="84"/>
    </row>
    <row r="171" spans="1:7">
      <c r="A171" s="50"/>
      <c r="B171" s="50"/>
      <c r="C171" s="50"/>
      <c r="D171" s="50"/>
      <c r="E171" s="211"/>
      <c r="F171" s="50"/>
      <c r="G171" s="50"/>
    </row>
    <row r="176" spans="1:7">
      <c r="A176" s="83"/>
      <c r="B176" s="84"/>
      <c r="C176" s="84"/>
      <c r="D176" s="84"/>
      <c r="E176" s="210"/>
      <c r="F176" s="84"/>
      <c r="G176" s="84"/>
    </row>
    <row r="178" spans="1:7">
      <c r="A178" s="50"/>
      <c r="B178" s="50"/>
      <c r="C178" s="50"/>
      <c r="D178" s="50"/>
      <c r="E178" s="211"/>
      <c r="F178" s="50"/>
      <c r="G178" s="50"/>
    </row>
    <row r="184" spans="1:7">
      <c r="A184" s="83"/>
      <c r="B184" s="85"/>
      <c r="C184" s="85"/>
      <c r="D184" s="85"/>
      <c r="E184" s="212"/>
      <c r="F184" s="85"/>
      <c r="G184" s="85"/>
    </row>
    <row r="187" spans="1:7">
      <c r="A187" s="50"/>
      <c r="B187" s="50"/>
      <c r="C187" s="50"/>
      <c r="D187" s="50"/>
      <c r="E187" s="211"/>
      <c r="F187" s="50"/>
      <c r="G187" s="50"/>
    </row>
    <row r="188" spans="1:7">
      <c r="A188" s="50"/>
    </row>
    <row r="189" spans="1:7">
      <c r="A189" s="50"/>
      <c r="B189" s="50"/>
      <c r="C189" s="50"/>
      <c r="D189" s="50"/>
      <c r="E189" s="211"/>
      <c r="F189" s="50"/>
      <c r="G189" s="50"/>
    </row>
    <row r="195" spans="1:7">
      <c r="A195" s="50"/>
      <c r="B195" s="84"/>
      <c r="C195" s="84"/>
      <c r="D195" s="84"/>
      <c r="E195" s="210"/>
      <c r="F195" s="84"/>
      <c r="G195" s="84"/>
    </row>
    <row r="197" spans="1:7">
      <c r="A197" s="50"/>
      <c r="B197" s="50"/>
      <c r="C197" s="50"/>
      <c r="D197" s="50"/>
      <c r="E197" s="211"/>
      <c r="F197" s="50"/>
      <c r="G197" s="50"/>
    </row>
    <row r="202" spans="1:7">
      <c r="A202" s="83"/>
      <c r="B202" s="84"/>
      <c r="C202" s="84"/>
      <c r="D202" s="84"/>
      <c r="E202" s="210"/>
      <c r="F202" s="84"/>
      <c r="G202" s="84"/>
    </row>
    <row r="204" spans="1:7">
      <c r="A204" s="50"/>
      <c r="B204" s="50"/>
      <c r="C204" s="50"/>
      <c r="D204" s="50"/>
      <c r="E204" s="211"/>
      <c r="F204" s="50"/>
      <c r="G204" s="50"/>
    </row>
    <row r="209" spans="1:7">
      <c r="A209" s="83"/>
      <c r="B209" s="84"/>
      <c r="C209" s="84"/>
      <c r="D209" s="84"/>
      <c r="E209" s="210"/>
      <c r="F209" s="84"/>
      <c r="G209" s="84"/>
    </row>
    <row r="211" spans="1:7">
      <c r="A211" s="50"/>
      <c r="B211" s="50"/>
      <c r="C211" s="50"/>
      <c r="D211" s="50"/>
      <c r="E211" s="211"/>
      <c r="F211" s="50"/>
      <c r="G211" s="50"/>
    </row>
    <row r="216" spans="1:7">
      <c r="A216" s="83"/>
      <c r="B216" s="84"/>
      <c r="C216" s="84"/>
      <c r="D216" s="84"/>
      <c r="E216" s="210"/>
      <c r="F216" s="84"/>
      <c r="G216" s="84"/>
    </row>
    <row r="218" spans="1:7">
      <c r="A218" s="50"/>
      <c r="B218" s="50"/>
      <c r="C218" s="50"/>
      <c r="D218" s="50"/>
      <c r="E218" s="211"/>
      <c r="F218" s="50"/>
      <c r="G218" s="50"/>
    </row>
    <row r="224" spans="1:7">
      <c r="A224" s="83"/>
      <c r="B224" s="85"/>
      <c r="C224" s="85"/>
      <c r="D224" s="85"/>
      <c r="E224" s="212"/>
      <c r="F224" s="85"/>
      <c r="G224" s="85"/>
    </row>
    <row r="227" spans="1:7">
      <c r="A227" s="50"/>
      <c r="B227" s="50"/>
      <c r="C227" s="50"/>
      <c r="D227" s="50"/>
      <c r="E227" s="211"/>
      <c r="F227" s="50"/>
      <c r="G227" s="50"/>
    </row>
    <row r="228" spans="1:7">
      <c r="A228" s="50"/>
    </row>
    <row r="229" spans="1:7">
      <c r="A229" s="50"/>
      <c r="B229" s="50"/>
      <c r="C229" s="50"/>
      <c r="D229" s="50"/>
      <c r="E229" s="211"/>
      <c r="F229" s="50"/>
      <c r="G229" s="50"/>
    </row>
    <row r="235" spans="1:7">
      <c r="A235" s="50"/>
      <c r="B235" s="84"/>
      <c r="C235" s="84"/>
      <c r="D235" s="84"/>
      <c r="E235" s="210"/>
      <c r="F235" s="84"/>
      <c r="G235" s="84"/>
    </row>
    <row r="237" spans="1:7">
      <c r="A237" s="50"/>
      <c r="B237" s="50"/>
      <c r="C237" s="50"/>
      <c r="D237" s="50"/>
      <c r="E237" s="211"/>
      <c r="F237" s="50"/>
      <c r="G237" s="50"/>
    </row>
    <row r="242" spans="1:7">
      <c r="A242" s="83"/>
      <c r="B242" s="84"/>
      <c r="C242" s="84"/>
      <c r="D242" s="84"/>
      <c r="E242" s="210"/>
      <c r="F242" s="84"/>
      <c r="G242" s="84"/>
    </row>
    <row r="244" spans="1:7">
      <c r="A244" s="50"/>
      <c r="B244" s="50"/>
      <c r="C244" s="50"/>
      <c r="D244" s="50"/>
      <c r="E244" s="211"/>
      <c r="F244" s="50"/>
      <c r="G244" s="50"/>
    </row>
    <row r="249" spans="1:7">
      <c r="A249" s="83"/>
      <c r="B249" s="84"/>
      <c r="C249" s="84"/>
      <c r="D249" s="84"/>
      <c r="E249" s="210"/>
      <c r="F249" s="84"/>
      <c r="G249" s="84"/>
    </row>
    <row r="251" spans="1:7">
      <c r="A251" s="50"/>
      <c r="B251" s="50"/>
      <c r="C251" s="50"/>
      <c r="D251" s="50"/>
      <c r="E251" s="211"/>
      <c r="F251" s="50"/>
      <c r="G251" s="50"/>
    </row>
    <row r="256" spans="1:7">
      <c r="A256" s="83"/>
      <c r="B256" s="84"/>
      <c r="C256" s="84"/>
      <c r="D256" s="84"/>
      <c r="E256" s="210"/>
      <c r="F256" s="84"/>
      <c r="G256" s="84"/>
    </row>
    <row r="258" spans="1:7">
      <c r="A258" s="50"/>
      <c r="B258" s="50"/>
      <c r="C258" s="50"/>
      <c r="D258" s="50"/>
      <c r="E258" s="211"/>
      <c r="F258" s="50"/>
      <c r="G258" s="50"/>
    </row>
    <row r="264" spans="1:7">
      <c r="A264" s="83"/>
      <c r="B264" s="85"/>
      <c r="C264" s="85"/>
      <c r="D264" s="85"/>
      <c r="E264" s="212"/>
      <c r="F264" s="85"/>
      <c r="G264" s="85"/>
    </row>
    <row r="267" spans="1:7">
      <c r="A267" s="50"/>
      <c r="B267" s="50"/>
      <c r="C267" s="50"/>
      <c r="D267" s="50"/>
      <c r="E267" s="211"/>
      <c r="F267" s="50"/>
      <c r="G267" s="50"/>
    </row>
    <row r="268" spans="1:7">
      <c r="A268" s="50"/>
    </row>
    <row r="269" spans="1:7">
      <c r="A269" s="50"/>
      <c r="B269" s="50"/>
      <c r="C269" s="50"/>
      <c r="D269" s="50"/>
      <c r="E269" s="211"/>
      <c r="F269" s="50"/>
      <c r="G269" s="50"/>
    </row>
    <row r="275" spans="1:7">
      <c r="A275" s="50"/>
      <c r="B275" s="84"/>
      <c r="C275" s="84"/>
      <c r="D275" s="84"/>
      <c r="E275" s="210"/>
      <c r="F275" s="84"/>
      <c r="G275" s="84"/>
    </row>
    <row r="277" spans="1:7">
      <c r="A277" s="50"/>
      <c r="B277" s="50"/>
      <c r="C277" s="50"/>
      <c r="D277" s="50"/>
      <c r="E277" s="211"/>
      <c r="F277" s="50"/>
      <c r="G277" s="50"/>
    </row>
    <row r="282" spans="1:7">
      <c r="A282" s="83"/>
      <c r="B282" s="84"/>
      <c r="C282" s="84"/>
      <c r="D282" s="84"/>
      <c r="E282" s="210"/>
      <c r="F282" s="84"/>
      <c r="G282" s="84"/>
    </row>
    <row r="284" spans="1:7">
      <c r="A284" s="50"/>
      <c r="B284" s="50"/>
      <c r="C284" s="50"/>
      <c r="D284" s="50"/>
      <c r="E284" s="211"/>
      <c r="F284" s="50"/>
      <c r="G284" s="50"/>
    </row>
    <row r="289" spans="1:7">
      <c r="A289" s="83"/>
      <c r="B289" s="84"/>
      <c r="C289" s="84"/>
      <c r="D289" s="84"/>
      <c r="E289" s="210"/>
      <c r="F289" s="84"/>
      <c r="G289" s="84"/>
    </row>
    <row r="291" spans="1:7">
      <c r="A291" s="50"/>
      <c r="B291" s="50"/>
      <c r="C291" s="50"/>
      <c r="D291" s="50"/>
      <c r="E291" s="211"/>
      <c r="F291" s="50"/>
      <c r="G291" s="50"/>
    </row>
    <row r="296" spans="1:7">
      <c r="A296" s="83"/>
      <c r="B296" s="84"/>
      <c r="C296" s="84"/>
      <c r="D296" s="84"/>
      <c r="E296" s="210"/>
      <c r="F296" s="84"/>
      <c r="G296" s="84"/>
    </row>
    <row r="298" spans="1:7">
      <c r="A298" s="50"/>
      <c r="B298" s="50"/>
      <c r="C298" s="50"/>
      <c r="D298" s="50"/>
      <c r="E298" s="211"/>
      <c r="F298" s="50"/>
      <c r="G298" s="50"/>
    </row>
    <row r="304" spans="1:7">
      <c r="A304" s="83"/>
      <c r="B304" s="85"/>
      <c r="C304" s="85"/>
      <c r="D304" s="85"/>
      <c r="E304" s="212"/>
      <c r="F304" s="85"/>
      <c r="G304" s="85"/>
    </row>
    <row r="305" spans="1:7" ht="16.5" customHeight="1"/>
    <row r="307" spans="1:7">
      <c r="A307" s="50"/>
      <c r="B307" s="50"/>
      <c r="C307" s="50"/>
      <c r="D307" s="50"/>
      <c r="E307" s="211"/>
      <c r="F307" s="50"/>
      <c r="G307" s="50"/>
    </row>
    <row r="308" spans="1:7">
      <c r="A308" s="50"/>
    </row>
    <row r="309" spans="1:7">
      <c r="A309" s="50"/>
      <c r="B309" s="50"/>
      <c r="C309" s="50"/>
      <c r="D309" s="50"/>
      <c r="E309" s="211"/>
      <c r="F309" s="50"/>
      <c r="G309" s="50"/>
    </row>
    <row r="315" spans="1:7">
      <c r="A315" s="50"/>
      <c r="B315" s="84"/>
      <c r="C315" s="84"/>
      <c r="D315" s="84"/>
      <c r="E315" s="210"/>
      <c r="F315" s="84"/>
      <c r="G315" s="84"/>
    </row>
    <row r="317" spans="1:7">
      <c r="A317" s="50"/>
      <c r="B317" s="50"/>
      <c r="C317" s="50"/>
      <c r="D317" s="50"/>
      <c r="E317" s="211"/>
      <c r="F317" s="50"/>
      <c r="G317" s="50"/>
    </row>
    <row r="322" spans="1:7">
      <c r="A322" s="83"/>
      <c r="B322" s="84"/>
      <c r="C322" s="84"/>
      <c r="D322" s="84"/>
      <c r="E322" s="210"/>
      <c r="F322" s="84"/>
      <c r="G322" s="84"/>
    </row>
    <row r="324" spans="1:7">
      <c r="A324" s="50"/>
      <c r="B324" s="50"/>
      <c r="C324" s="50"/>
      <c r="D324" s="50"/>
      <c r="E324" s="211"/>
      <c r="F324" s="50"/>
      <c r="G324" s="50"/>
    </row>
    <row r="329" spans="1:7">
      <c r="A329" s="83"/>
      <c r="B329" s="84"/>
      <c r="C329" s="84"/>
      <c r="D329" s="84"/>
      <c r="E329" s="210"/>
      <c r="F329" s="84"/>
      <c r="G329" s="84"/>
    </row>
    <row r="331" spans="1:7">
      <c r="A331" s="50"/>
      <c r="B331" s="50"/>
      <c r="C331" s="50"/>
      <c r="D331" s="50"/>
      <c r="E331" s="211"/>
      <c r="F331" s="50"/>
      <c r="G331" s="50"/>
    </row>
    <row r="336" spans="1:7">
      <c r="A336" s="83"/>
      <c r="B336" s="84"/>
      <c r="C336" s="84"/>
      <c r="D336" s="84"/>
      <c r="E336" s="210"/>
      <c r="F336" s="84"/>
      <c r="G336" s="84"/>
    </row>
    <row r="338" spans="1:7">
      <c r="A338" s="50"/>
      <c r="B338" s="50"/>
      <c r="C338" s="50"/>
      <c r="D338" s="50"/>
      <c r="E338" s="211"/>
      <c r="F338" s="50"/>
      <c r="G338" s="50"/>
    </row>
    <row r="344" spans="1:7">
      <c r="A344" s="83"/>
      <c r="B344" s="85"/>
      <c r="C344" s="85"/>
      <c r="D344" s="85"/>
      <c r="E344" s="212"/>
      <c r="F344" s="85"/>
      <c r="G344" s="85"/>
    </row>
    <row r="347" spans="1:7">
      <c r="A347" s="50"/>
      <c r="B347" s="50"/>
      <c r="C347" s="50"/>
      <c r="D347" s="50"/>
      <c r="E347" s="211"/>
      <c r="F347" s="50"/>
      <c r="G347" s="50"/>
    </row>
    <row r="348" spans="1:7">
      <c r="A348" s="50"/>
    </row>
    <row r="349" spans="1:7">
      <c r="A349" s="50"/>
      <c r="B349" s="50"/>
      <c r="C349" s="50"/>
      <c r="D349" s="50"/>
      <c r="E349" s="211"/>
      <c r="F349" s="50"/>
      <c r="G349" s="50"/>
    </row>
    <row r="355" spans="1:7">
      <c r="A355" s="50"/>
      <c r="B355" s="84"/>
      <c r="C355" s="84"/>
      <c r="D355" s="84"/>
      <c r="E355" s="210"/>
      <c r="F355" s="84"/>
      <c r="G355" s="84"/>
    </row>
    <row r="357" spans="1:7">
      <c r="A357" s="50"/>
      <c r="B357" s="50"/>
      <c r="C357" s="50"/>
      <c r="D357" s="50"/>
      <c r="E357" s="211"/>
      <c r="F357" s="50"/>
      <c r="G357" s="50"/>
    </row>
    <row r="362" spans="1:7">
      <c r="A362" s="83"/>
      <c r="B362" s="84"/>
      <c r="C362" s="84"/>
      <c r="D362" s="84"/>
      <c r="E362" s="210"/>
      <c r="F362" s="84"/>
      <c r="G362" s="84"/>
    </row>
    <row r="364" spans="1:7">
      <c r="A364" s="50"/>
      <c r="B364" s="50"/>
      <c r="C364" s="50"/>
      <c r="D364" s="50"/>
      <c r="E364" s="211"/>
      <c r="F364" s="50"/>
      <c r="G364" s="50"/>
    </row>
    <row r="369" spans="1:7">
      <c r="A369" s="83"/>
      <c r="B369" s="84"/>
      <c r="C369" s="84"/>
      <c r="D369" s="84"/>
      <c r="E369" s="210"/>
      <c r="F369" s="84"/>
      <c r="G369" s="84"/>
    </row>
    <row r="371" spans="1:7">
      <c r="A371" s="50"/>
      <c r="B371" s="50"/>
      <c r="C371" s="50"/>
      <c r="D371" s="50"/>
      <c r="E371" s="211"/>
      <c r="F371" s="50"/>
      <c r="G371" s="50"/>
    </row>
    <row r="376" spans="1:7">
      <c r="A376" s="83"/>
      <c r="B376" s="84"/>
      <c r="C376" s="84"/>
      <c r="D376" s="84"/>
      <c r="E376" s="210"/>
      <c r="F376" s="84"/>
      <c r="G376" s="84"/>
    </row>
    <row r="378" spans="1:7">
      <c r="A378" s="50"/>
      <c r="B378" s="50"/>
      <c r="C378" s="50"/>
      <c r="D378" s="50"/>
      <c r="E378" s="211"/>
      <c r="F378" s="50"/>
      <c r="G378" s="50"/>
    </row>
    <row r="384" spans="1:7">
      <c r="A384" s="83"/>
      <c r="B384" s="85"/>
      <c r="C384" s="85"/>
      <c r="D384" s="85"/>
      <c r="E384" s="212"/>
      <c r="F384" s="85"/>
      <c r="G384" s="85"/>
    </row>
    <row r="387" spans="1:7">
      <c r="A387" s="50"/>
      <c r="B387" s="50"/>
      <c r="C387" s="50"/>
      <c r="D387" s="50"/>
      <c r="E387" s="211"/>
      <c r="F387" s="50"/>
      <c r="G387" s="50"/>
    </row>
    <row r="388" spans="1:7">
      <c r="A388" s="50"/>
    </row>
    <row r="389" spans="1:7">
      <c r="A389" s="50"/>
      <c r="B389" s="50"/>
      <c r="C389" s="50"/>
      <c r="D389" s="50"/>
      <c r="E389" s="211"/>
      <c r="F389" s="50"/>
      <c r="G389" s="50"/>
    </row>
    <row r="395" spans="1:7">
      <c r="A395" s="50"/>
      <c r="B395" s="84"/>
      <c r="C395" s="84"/>
      <c r="D395" s="84"/>
      <c r="E395" s="210"/>
      <c r="F395" s="84"/>
      <c r="G395" s="84"/>
    </row>
    <row r="397" spans="1:7">
      <c r="A397" s="50"/>
      <c r="B397" s="50"/>
      <c r="C397" s="50"/>
      <c r="D397" s="50"/>
      <c r="E397" s="211"/>
      <c r="F397" s="50"/>
      <c r="G397" s="50"/>
    </row>
    <row r="402" spans="1:7">
      <c r="A402" s="83"/>
      <c r="B402" s="84"/>
      <c r="C402" s="84"/>
      <c r="D402" s="84"/>
      <c r="E402" s="210"/>
      <c r="F402" s="84"/>
      <c r="G402" s="84"/>
    </row>
    <row r="404" spans="1:7">
      <c r="A404" s="50"/>
      <c r="B404" s="50"/>
      <c r="C404" s="50"/>
      <c r="D404" s="50"/>
      <c r="E404" s="211"/>
      <c r="F404" s="50"/>
      <c r="G404" s="50"/>
    </row>
    <row r="409" spans="1:7">
      <c r="A409" s="83"/>
      <c r="B409" s="84"/>
      <c r="C409" s="84"/>
      <c r="D409" s="84"/>
      <c r="E409" s="210"/>
      <c r="F409" s="84"/>
      <c r="G409" s="84"/>
    </row>
    <row r="411" spans="1:7">
      <c r="A411" s="50"/>
      <c r="B411" s="50"/>
      <c r="C411" s="50"/>
      <c r="D411" s="50"/>
      <c r="E411" s="211"/>
      <c r="F411" s="50"/>
      <c r="G411" s="50"/>
    </row>
    <row r="416" spans="1:7">
      <c r="A416" s="83"/>
      <c r="B416" s="84"/>
      <c r="C416" s="84"/>
      <c r="D416" s="84"/>
      <c r="E416" s="210"/>
      <c r="F416" s="84"/>
      <c r="G416" s="84"/>
    </row>
    <row r="418" spans="1:7">
      <c r="A418" s="50"/>
      <c r="B418" s="50"/>
      <c r="C418" s="50"/>
      <c r="D418" s="50"/>
      <c r="E418" s="211"/>
      <c r="F418" s="50"/>
      <c r="G418" s="50"/>
    </row>
    <row r="424" spans="1:7">
      <c r="A424" s="83"/>
      <c r="B424" s="85"/>
      <c r="C424" s="85"/>
      <c r="D424" s="85"/>
      <c r="E424" s="212"/>
      <c r="F424" s="85"/>
      <c r="G424" s="85"/>
    </row>
    <row r="429" spans="1:7">
      <c r="A429" s="50"/>
    </row>
    <row r="430" spans="1:7">
      <c r="A430" s="50"/>
    </row>
    <row r="431" spans="1:7">
      <c r="A431" s="50"/>
    </row>
    <row r="432" spans="1:7">
      <c r="A432" s="50"/>
    </row>
  </sheetData>
  <customSheetViews>
    <customSheetView guid="{AE6F0488-1842-4C89-B05F-A836B633FB8F}" scale="75" showPageBreaks="1" hiddenColumns="1" showRuler="0">
      <pane xSplit="1" ySplit="3" topLeftCell="F16" activePane="bottomRight" state="frozen"/>
      <selection pane="bottomRight" activeCell="F24" sqref="F24"/>
      <pageMargins left="0.17" right="0.16" top="0.91" bottom="0.9" header="0.4" footer="0.35"/>
      <pageSetup paperSize="5" scale="70" orientation="landscape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E18" sqref="E18"/>
      <pageMargins left="0.17" right="0.16" top="0.91" bottom="0.9" header="0.4" footer="0.35"/>
      <pageSetup paperSize="5" scale="70" orientation="landscape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D4" activePane="bottomRight" state="frozen"/>
      <selection pane="bottomRight" activeCell="M86" sqref="M86"/>
      <pageMargins left="0.17" right="0.16" top="0.91" bottom="0.9" header="0.4" footer="0.35"/>
      <pageSetup paperSize="5" scale="70" orientation="landscape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8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1" manualBreakCount="1">
    <brk id="56" max="16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0.79998168889431442"/>
    <pageSetUpPr fitToPage="1"/>
  </sheetPr>
  <dimension ref="E1:N29"/>
  <sheetViews>
    <sheetView view="pageBreakPreview" zoomScale="93" zoomScaleNormal="100" zoomScaleSheetLayoutView="93" workbookViewId="0">
      <selection activeCell="A3" sqref="A3"/>
    </sheetView>
  </sheetViews>
  <sheetFormatPr defaultRowHeight="12.75"/>
  <sheetData>
    <row r="1" spans="5:9" s="50" customFormat="1" ht="33.75" customHeight="1">
      <c r="G1" s="338" t="s">
        <v>361</v>
      </c>
    </row>
    <row r="2" spans="5:9" ht="15">
      <c r="G2" s="197" t="s">
        <v>552</v>
      </c>
    </row>
    <row r="5" spans="5:9" ht="14.25">
      <c r="E5" s="198" t="s">
        <v>362</v>
      </c>
      <c r="F5" s="198"/>
      <c r="G5" s="198"/>
      <c r="H5" s="198"/>
      <c r="I5" s="199" t="s">
        <v>363</v>
      </c>
    </row>
    <row r="6" spans="5:9" ht="14.25">
      <c r="E6" s="198"/>
      <c r="F6" s="198"/>
      <c r="G6" s="198"/>
      <c r="H6" s="198"/>
      <c r="I6" s="198"/>
    </row>
    <row r="7" spans="5:9" ht="14.25">
      <c r="E7" s="198" t="s">
        <v>0</v>
      </c>
      <c r="F7" s="198"/>
      <c r="G7" s="198"/>
      <c r="H7" s="198"/>
      <c r="I7" s="198">
        <v>1</v>
      </c>
    </row>
    <row r="8" spans="5:9" ht="14.25">
      <c r="E8" s="198" t="s">
        <v>255</v>
      </c>
      <c r="F8" s="198"/>
      <c r="G8" s="198"/>
      <c r="H8" s="198"/>
      <c r="I8" s="198">
        <v>3</v>
      </c>
    </row>
    <row r="9" spans="5:9" ht="14.25">
      <c r="E9" s="198" t="s">
        <v>256</v>
      </c>
      <c r="F9" s="198"/>
      <c r="G9" s="198"/>
      <c r="H9" s="198"/>
      <c r="I9" s="198">
        <v>6</v>
      </c>
    </row>
    <row r="10" spans="5:9" ht="14.25">
      <c r="E10" s="198" t="s">
        <v>257</v>
      </c>
      <c r="F10" s="198"/>
      <c r="G10" s="198"/>
      <c r="H10" s="198"/>
      <c r="I10" s="198">
        <v>18</v>
      </c>
    </row>
    <row r="11" spans="5:9" ht="14.25">
      <c r="E11" s="198" t="s">
        <v>258</v>
      </c>
      <c r="F11" s="198"/>
      <c r="G11" s="198"/>
      <c r="H11" s="198"/>
      <c r="I11" s="198">
        <v>27</v>
      </c>
    </row>
    <row r="12" spans="5:9" ht="14.25">
      <c r="E12" s="198" t="s">
        <v>259</v>
      </c>
      <c r="F12" s="198"/>
      <c r="G12" s="198"/>
      <c r="H12" s="198"/>
      <c r="I12" s="198">
        <v>32</v>
      </c>
    </row>
    <row r="13" spans="5:9" ht="14.25">
      <c r="E13" s="198" t="s">
        <v>260</v>
      </c>
      <c r="F13" s="198"/>
      <c r="G13" s="198"/>
      <c r="H13" s="198"/>
      <c r="I13" s="198">
        <v>34</v>
      </c>
    </row>
    <row r="14" spans="5:9" ht="14.25">
      <c r="E14" s="198" t="s">
        <v>261</v>
      </c>
      <c r="F14" s="198"/>
      <c r="G14" s="198"/>
      <c r="H14" s="198"/>
      <c r="I14" s="198">
        <v>37</v>
      </c>
    </row>
    <row r="15" spans="5:9" ht="14.25">
      <c r="E15" s="198" t="s">
        <v>262</v>
      </c>
      <c r="F15" s="198"/>
      <c r="G15" s="198"/>
      <c r="H15" s="198"/>
      <c r="I15" s="198">
        <v>42</v>
      </c>
    </row>
    <row r="16" spans="5:9" ht="14.25">
      <c r="E16" s="198" t="s">
        <v>263</v>
      </c>
      <c r="F16" s="198"/>
      <c r="G16" s="198"/>
      <c r="H16" s="198"/>
      <c r="I16" s="198">
        <v>46</v>
      </c>
    </row>
    <row r="17" spans="5:14" ht="14.25">
      <c r="E17" s="198" t="s">
        <v>264</v>
      </c>
      <c r="F17" s="198"/>
      <c r="G17" s="198"/>
      <c r="H17" s="198"/>
      <c r="I17" s="198">
        <v>51</v>
      </c>
    </row>
    <row r="18" spans="5:14" ht="14.25">
      <c r="E18" s="198" t="s">
        <v>265</v>
      </c>
      <c r="F18" s="198"/>
      <c r="G18" s="198"/>
      <c r="H18" s="198"/>
      <c r="I18" s="198">
        <v>57</v>
      </c>
    </row>
    <row r="19" spans="5:14" ht="14.25">
      <c r="E19" s="198" t="s">
        <v>266</v>
      </c>
      <c r="F19" s="198"/>
      <c r="G19" s="198"/>
      <c r="H19" s="198"/>
      <c r="I19" s="198">
        <v>59</v>
      </c>
    </row>
    <row r="20" spans="5:14" ht="14.25">
      <c r="E20" s="198" t="s">
        <v>267</v>
      </c>
      <c r="F20" s="198"/>
      <c r="G20" s="198"/>
      <c r="H20" s="198"/>
      <c r="I20" s="198">
        <v>65</v>
      </c>
    </row>
    <row r="21" spans="5:14" ht="14.25">
      <c r="E21" s="198" t="s">
        <v>268</v>
      </c>
      <c r="F21" s="198"/>
      <c r="G21" s="198"/>
      <c r="H21" s="198"/>
      <c r="I21" s="198">
        <v>68</v>
      </c>
      <c r="N21" s="500"/>
    </row>
    <row r="22" spans="5:14" ht="14.25">
      <c r="E22" s="198" t="s">
        <v>269</v>
      </c>
      <c r="F22" s="198"/>
      <c r="G22" s="198"/>
      <c r="H22" s="198"/>
      <c r="I22" s="198">
        <v>70</v>
      </c>
    </row>
    <row r="23" spans="5:14" ht="14.25">
      <c r="E23" s="198" t="s">
        <v>270</v>
      </c>
      <c r="F23" s="198"/>
      <c r="G23" s="198"/>
      <c r="H23" s="198"/>
      <c r="I23" s="198">
        <v>75</v>
      </c>
    </row>
    <row r="24" spans="5:14" ht="14.25">
      <c r="E24" s="198"/>
      <c r="F24" s="198"/>
      <c r="G24" s="198"/>
      <c r="H24" s="198"/>
      <c r="I24" s="198"/>
    </row>
    <row r="25" spans="5:14" ht="14.25">
      <c r="E25" s="198" t="s">
        <v>364</v>
      </c>
      <c r="F25" s="198"/>
      <c r="G25" s="198"/>
      <c r="H25" s="198"/>
      <c r="I25" s="198">
        <v>77</v>
      </c>
    </row>
    <row r="26" spans="5:14" ht="14.25">
      <c r="E26" s="198" t="s">
        <v>365</v>
      </c>
      <c r="F26" s="198"/>
      <c r="G26" s="198"/>
      <c r="H26" s="198"/>
      <c r="I26" s="198">
        <v>78</v>
      </c>
    </row>
    <row r="27" spans="5:14" ht="14.25">
      <c r="E27" s="198" t="s">
        <v>366</v>
      </c>
      <c r="F27" s="198"/>
      <c r="G27" s="198"/>
      <c r="H27" s="198"/>
      <c r="I27" s="198">
        <v>79</v>
      </c>
    </row>
    <row r="28" spans="5:14" ht="14.25">
      <c r="E28" s="305"/>
      <c r="F28" s="198"/>
      <c r="G28" s="198"/>
      <c r="H28" s="198"/>
      <c r="I28" s="198"/>
    </row>
    <row r="29" spans="5:14" ht="14.25">
      <c r="E29" s="198"/>
      <c r="F29" s="198"/>
      <c r="G29" s="198"/>
      <c r="H29" s="198"/>
      <c r="I29" s="198"/>
    </row>
  </sheetData>
  <customSheetViews>
    <customSheetView guid="{AE6F0488-1842-4C89-B05F-A836B633FB8F}" showPageBreaks="1" showRuler="0" topLeftCell="C1">
      <selection activeCell="I7" sqref="I7"/>
      <pageMargins left="0.75" right="0.75" top="1" bottom="1" header="0.5" footer="0.5"/>
      <pageSetup paperSize="5" orientation="landscape" r:id="rId1"/>
      <headerFooter alignWithMargins="0"/>
    </customSheetView>
    <customSheetView guid="{7CE6F7F4-8D8F-4334-ACEE-5BD88E482B05}" showPageBreaks="1" showRuler="0" topLeftCell="C1">
      <selection activeCell="J27" sqref="J27"/>
      <pageMargins left="0.75" right="0.75" top="1" bottom="1" header="0.5" footer="0.5"/>
      <pageSetup paperSize="5" orientation="landscape" r:id="rId2"/>
      <headerFooter alignWithMargins="0"/>
    </customSheetView>
    <customSheetView guid="{FA63795C-EC4C-4AAB-B1D6-AA5370DAC04D}" showRuler="0" topLeftCell="C1">
      <selection activeCell="J27" sqref="J27"/>
      <pageMargins left="0.75" right="0.75" top="1" bottom="1" header="0.5" footer="0.5"/>
      <pageSetup paperSize="5" orientation="landscape" r:id="rId3"/>
      <headerFooter alignWithMargins="0"/>
    </customSheetView>
  </customSheetViews>
  <phoneticPr fontId="5" type="noConversion"/>
  <pageMargins left="0.75" right="0.75" top="1" bottom="1" header="0.5" footer="0.5"/>
  <pageSetup paperSize="5" fitToHeight="0" orientation="landscape" r:id="rId4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21"/>
    <pageSetUpPr fitToPage="1"/>
  </sheetPr>
  <dimension ref="A1:T170"/>
  <sheetViews>
    <sheetView tabSelected="1" view="pageLayout" topLeftCell="A8" zoomScaleNormal="75" zoomScaleSheetLayoutView="96" workbookViewId="0">
      <selection activeCell="F53" sqref="F53"/>
    </sheetView>
  </sheetViews>
  <sheetFormatPr defaultColWidth="9.140625" defaultRowHeight="11.25"/>
  <cols>
    <col min="1" max="1" width="16.5703125" style="124" customWidth="1"/>
    <col min="2" max="2" width="14.42578125" style="125" customWidth="1"/>
    <col min="3" max="3" width="9.42578125" style="125" customWidth="1"/>
    <col min="4" max="4" width="11.7109375" style="126" customWidth="1"/>
    <col min="5" max="5" width="17.7109375" style="126" customWidth="1"/>
    <col min="6" max="6" width="17.140625" style="112" customWidth="1"/>
    <col min="7" max="7" width="19.85546875" style="112" customWidth="1"/>
    <col min="8" max="8" width="14.85546875" style="112" customWidth="1"/>
    <col min="9" max="9" width="17.140625" style="112" customWidth="1"/>
    <col min="10" max="10" width="14.140625" style="112" customWidth="1"/>
    <col min="11" max="11" width="18.85546875" style="112" customWidth="1"/>
    <col min="12" max="13" width="18.5703125" style="112" customWidth="1"/>
    <col min="14" max="14" width="15.42578125" style="112" customWidth="1"/>
    <col min="15" max="15" width="15.85546875" style="112" customWidth="1"/>
    <col min="16" max="16" width="20.85546875" style="112" customWidth="1"/>
    <col min="17" max="17" width="3.28515625" style="113" customWidth="1"/>
    <col min="18" max="18" width="15.28515625" style="113" customWidth="1"/>
    <col min="19" max="16384" width="9.140625" style="113"/>
  </cols>
  <sheetData>
    <row r="1" spans="1:18" s="4" customFormat="1" ht="15.75" customHeight="1">
      <c r="A1" s="106"/>
      <c r="B1" s="5">
        <v>-1</v>
      </c>
      <c r="C1" s="5">
        <v>-2</v>
      </c>
      <c r="D1" s="5">
        <v>-3</v>
      </c>
      <c r="E1" s="5">
        <v>-4</v>
      </c>
      <c r="F1" s="5">
        <v>-5</v>
      </c>
      <c r="G1" s="5">
        <v>-6</v>
      </c>
      <c r="H1" s="5">
        <v>-7</v>
      </c>
      <c r="I1" s="5">
        <v>-8</v>
      </c>
      <c r="J1" s="5">
        <v>-9</v>
      </c>
      <c r="K1" s="5">
        <v>-10</v>
      </c>
      <c r="L1" s="5">
        <v>-11</v>
      </c>
      <c r="M1" s="5">
        <v>-12</v>
      </c>
      <c r="N1" s="5">
        <v>-13</v>
      </c>
      <c r="O1" s="5">
        <v>-14</v>
      </c>
      <c r="P1" s="5">
        <v>-15</v>
      </c>
      <c r="Q1" s="5"/>
      <c r="R1" s="5"/>
    </row>
    <row r="2" spans="1:18" s="9" customFormat="1" ht="94.5" customHeight="1" thickBot="1">
      <c r="A2" s="6" t="s">
        <v>1</v>
      </c>
      <c r="B2" s="7" t="str">
        <f>'Carson City'!B3</f>
        <v xml:space="preserve">PROPOSED FY 27 TAX RATE   </v>
      </c>
      <c r="C2" s="7" t="str">
        <f>'Carson City'!C3</f>
        <v xml:space="preserve">FY 27 EXEMPT RATE          </v>
      </c>
      <c r="D2" s="8" t="s">
        <v>2</v>
      </c>
      <c r="E2" s="8" t="s">
        <v>191</v>
      </c>
      <c r="F2" s="107" t="s">
        <v>3</v>
      </c>
      <c r="G2" s="107" t="s">
        <v>4</v>
      </c>
      <c r="H2" s="107" t="s">
        <v>5</v>
      </c>
      <c r="I2" s="107" t="s">
        <v>6</v>
      </c>
      <c r="J2" s="107" t="s">
        <v>7</v>
      </c>
      <c r="K2" s="107" t="s">
        <v>353</v>
      </c>
      <c r="L2" s="107" t="s">
        <v>8</v>
      </c>
      <c r="M2" s="107" t="s">
        <v>354</v>
      </c>
      <c r="N2" s="107" t="s">
        <v>9</v>
      </c>
      <c r="O2" s="8" t="s">
        <v>397</v>
      </c>
      <c r="P2" s="8" t="s">
        <v>418</v>
      </c>
      <c r="R2" s="6" t="s">
        <v>460</v>
      </c>
    </row>
    <row r="3" spans="1:18">
      <c r="A3" s="108"/>
      <c r="B3" s="109"/>
      <c r="C3" s="109"/>
      <c r="D3" s="110"/>
      <c r="E3" s="110"/>
      <c r="F3" s="111"/>
    </row>
    <row r="4" spans="1:18" s="4" customFormat="1" ht="12">
      <c r="A4" s="94" t="s">
        <v>0</v>
      </c>
      <c r="B4" s="88"/>
      <c r="C4" s="88"/>
      <c r="D4" s="3">
        <f>'Carson City'!D15</f>
        <v>20783</v>
      </c>
      <c r="E4" s="3">
        <f>'Carson City'!F15</f>
        <v>2720406426.662353</v>
      </c>
      <c r="F4" s="114">
        <f>'Carson City'!G15</f>
        <v>3744224.1880999999</v>
      </c>
      <c r="G4" s="114">
        <f>'Carson City'!H15</f>
        <v>93996465.563800007</v>
      </c>
      <c r="H4" s="114">
        <f>'Carson City'!I15</f>
        <v>0</v>
      </c>
      <c r="I4" s="114">
        <f>'Carson City'!J15</f>
        <v>344593.41000000009</v>
      </c>
      <c r="J4" s="114">
        <f>'Carson City'!K15</f>
        <v>488.03000000000014</v>
      </c>
      <c r="K4" s="114">
        <f>'Carson City'!L15</f>
        <v>97396584.371899992</v>
      </c>
      <c r="L4" s="114">
        <f>'Carson City'!M15</f>
        <v>15412862.82</v>
      </c>
      <c r="M4" s="114">
        <f>'Carson City'!N15</f>
        <v>81983721.551900014</v>
      </c>
      <c r="N4" s="114">
        <f>'Carson City'!O15</f>
        <v>4903730.57</v>
      </c>
      <c r="O4" s="114">
        <f>'Carson City'!P15</f>
        <v>0</v>
      </c>
      <c r="P4" s="114">
        <f>'Carson City'!Q15</f>
        <v>77079990.981900007</v>
      </c>
      <c r="R4" s="387">
        <f>'Carson City'!M16</f>
        <v>0.15824849423001722</v>
      </c>
    </row>
    <row r="5" spans="1:18" s="4" customFormat="1" ht="12">
      <c r="A5" s="94" t="s">
        <v>255</v>
      </c>
      <c r="B5" s="93"/>
      <c r="C5" s="93"/>
      <c r="D5" s="3">
        <f>'Churchill '!D14</f>
        <v>12371</v>
      </c>
      <c r="E5" s="3">
        <f>'Churchill '!F14</f>
        <v>1251367410.7299998</v>
      </c>
      <c r="F5" s="114">
        <f>'Churchill '!G14</f>
        <v>2454973.0502966456</v>
      </c>
      <c r="G5" s="114">
        <f>'Churchill '!H14</f>
        <v>36039521.773122005</v>
      </c>
      <c r="H5" s="114">
        <f>'Churchill '!I14</f>
        <v>364782.89335735445</v>
      </c>
      <c r="I5" s="114">
        <f>'Churchill '!J14</f>
        <v>362561.27</v>
      </c>
      <c r="J5" s="114">
        <f>'Churchill '!K14</f>
        <v>701.46</v>
      </c>
      <c r="K5" s="114">
        <f>'Churchill '!L14</f>
        <v>38497417.906776004</v>
      </c>
      <c r="L5" s="114">
        <f>'Churchill '!M14</f>
        <v>4383620.790000001</v>
      </c>
      <c r="M5" s="114">
        <f>'Churchill '!N14</f>
        <v>34113797.116775997</v>
      </c>
      <c r="N5" s="114">
        <f>'Churchill '!O14</f>
        <v>0</v>
      </c>
      <c r="O5" s="114">
        <f>'Churchill '!P14</f>
        <v>94776.95</v>
      </c>
      <c r="P5" s="114">
        <f>'Churchill '!Q14</f>
        <v>34019020.166776001</v>
      </c>
      <c r="R5" s="387">
        <f>'Churchill '!M15</f>
        <v>0.11386791707992529</v>
      </c>
    </row>
    <row r="6" spans="1:18" s="4" customFormat="1" ht="12">
      <c r="A6" s="94" t="s">
        <v>256</v>
      </c>
      <c r="B6" s="88"/>
      <c r="C6" s="88"/>
      <c r="D6" s="3">
        <f>Clark!D52</f>
        <v>860904</v>
      </c>
      <c r="E6" s="3">
        <f>Clark!F52</f>
        <v>181164136911.33234</v>
      </c>
      <c r="F6" s="114">
        <f>Clark!G52</f>
        <v>116011113.33999996</v>
      </c>
      <c r="G6" s="114">
        <f>Clark!H52</f>
        <v>5383203126.8600025</v>
      </c>
      <c r="H6" s="114">
        <f>Clark!I52</f>
        <v>0</v>
      </c>
      <c r="I6" s="114">
        <f>Clark!J52</f>
        <v>521980062.48000002</v>
      </c>
      <c r="J6" s="114">
        <f>Clark!K52</f>
        <v>0</v>
      </c>
      <c r="K6" s="114">
        <f>Clark!L52</f>
        <v>4977234177.7200003</v>
      </c>
      <c r="L6" s="114">
        <f>Clark!M52</f>
        <v>1029921191.2</v>
      </c>
      <c r="M6" s="114">
        <f>Clark!N52</f>
        <v>3947312986.5200005</v>
      </c>
      <c r="N6" s="114">
        <f>Clark!O52</f>
        <v>2271047.4000000004</v>
      </c>
      <c r="O6" s="114">
        <f>Clark!P52</f>
        <v>1300463.7700000007</v>
      </c>
      <c r="P6" s="114">
        <f>Clark!Q52</f>
        <v>3943741446.1500001</v>
      </c>
      <c r="R6" s="387">
        <f>Clark!M53</f>
        <v>0.20692640820685521</v>
      </c>
    </row>
    <row r="7" spans="1:18" s="4" customFormat="1" ht="12">
      <c r="A7" s="94" t="s">
        <v>257</v>
      </c>
      <c r="B7" s="88"/>
      <c r="C7" s="88"/>
      <c r="D7" s="3">
        <f>Douglas!D37</f>
        <v>27985</v>
      </c>
      <c r="E7" s="3">
        <f>Douglas!F37</f>
        <v>5214250659.2494116</v>
      </c>
      <c r="F7" s="114">
        <f>Douglas!G37</f>
        <v>4876704.856466502</v>
      </c>
      <c r="G7" s="114">
        <f>Douglas!H37</f>
        <v>156837524.05448201</v>
      </c>
      <c r="H7" s="114">
        <f>Douglas!I37</f>
        <v>882282.62755649595</v>
      </c>
      <c r="I7" s="114">
        <f>Douglas!J37</f>
        <v>635978.97999999986</v>
      </c>
      <c r="J7" s="114">
        <f>Douglas!K37</f>
        <v>3797.6700000000005</v>
      </c>
      <c r="K7" s="114">
        <f>Douglas!L37</f>
        <v>161964330.22850499</v>
      </c>
      <c r="L7" s="114">
        <f>Douglas!M37</f>
        <v>25652968.230000008</v>
      </c>
      <c r="M7" s="114">
        <f>Douglas!N37</f>
        <v>136311361.99850503</v>
      </c>
      <c r="N7" s="114">
        <f>Douglas!O37</f>
        <v>3655327.12</v>
      </c>
      <c r="O7" s="114">
        <f>Douglas!P37</f>
        <v>0</v>
      </c>
      <c r="P7" s="114">
        <f>Douglas!Q37</f>
        <v>132656034.87850499</v>
      </c>
      <c r="R7" s="387">
        <f>Douglas!M38</f>
        <v>0.15838652988474619</v>
      </c>
    </row>
    <row r="8" spans="1:18" s="4" customFormat="1" ht="12">
      <c r="A8" s="94" t="s">
        <v>258</v>
      </c>
      <c r="B8" s="88"/>
      <c r="C8" s="88"/>
      <c r="D8" s="3">
        <f>Elko!D20</f>
        <v>43442</v>
      </c>
      <c r="E8" s="3">
        <f>Elko!F20</f>
        <v>2658204963.825294</v>
      </c>
      <c r="F8" s="114">
        <f>Elko!G20</f>
        <v>5292113.4780969992</v>
      </c>
      <c r="G8" s="114">
        <f>Elko!H20</f>
        <v>78779672.135715976</v>
      </c>
      <c r="H8" s="114">
        <f>Elko!I20</f>
        <v>0</v>
      </c>
      <c r="I8" s="114">
        <f>Elko!J20</f>
        <v>1865566.99</v>
      </c>
      <c r="J8" s="114">
        <f>Elko!K20</f>
        <v>767.8</v>
      </c>
      <c r="K8" s="114">
        <f>Elko!L20</f>
        <v>82206986.423812985</v>
      </c>
      <c r="L8" s="114">
        <f>Elko!M20</f>
        <v>3093890.1599999997</v>
      </c>
      <c r="M8" s="114">
        <f>Elko!N20</f>
        <v>79113096.263813004</v>
      </c>
      <c r="N8" s="114">
        <f>Elko!O20</f>
        <v>584603.99</v>
      </c>
      <c r="O8" s="114">
        <f>Elko!P20</f>
        <v>150.88</v>
      </c>
      <c r="P8" s="114">
        <f>Elko!Q20</f>
        <v>78528341.393813014</v>
      </c>
      <c r="R8" s="387">
        <f>Elko!M21</f>
        <v>3.763536768091269E-2</v>
      </c>
    </row>
    <row r="9" spans="1:18" s="4" customFormat="1" ht="12">
      <c r="A9" s="94" t="s">
        <v>259</v>
      </c>
      <c r="B9" s="88"/>
      <c r="C9" s="88"/>
      <c r="D9" s="3">
        <f>Esmeralda!D11</f>
        <v>2577</v>
      </c>
      <c r="E9" s="3">
        <f>Esmeralda!F11</f>
        <v>193544496.6788235</v>
      </c>
      <c r="F9" s="114">
        <f>Esmeralda!G11</f>
        <v>2227618.2818129999</v>
      </c>
      <c r="G9" s="114">
        <f>Esmeralda!H11</f>
        <v>3813130.8648860003</v>
      </c>
      <c r="H9" s="114">
        <f>Esmeralda!I11</f>
        <v>0</v>
      </c>
      <c r="I9" s="114">
        <f>Esmeralda!J11</f>
        <v>1061463.49</v>
      </c>
      <c r="J9" s="114">
        <f>Esmeralda!K11</f>
        <v>0</v>
      </c>
      <c r="K9" s="114">
        <f>Esmeralda!L11</f>
        <v>4979285.6566989999</v>
      </c>
      <c r="L9" s="114">
        <f>Esmeralda!M11</f>
        <v>52444.41</v>
      </c>
      <c r="M9" s="114">
        <f>Esmeralda!N11</f>
        <v>4926841.2466989998</v>
      </c>
      <c r="N9" s="114">
        <f>Esmeralda!O11</f>
        <v>0</v>
      </c>
      <c r="O9" s="114">
        <f>Esmeralda!P11</f>
        <v>0</v>
      </c>
      <c r="P9" s="114">
        <f>Esmeralda!Q11</f>
        <v>4926841.2466989998</v>
      </c>
      <c r="R9" s="387">
        <f>Esmeralda!M12</f>
        <v>1.0532516833904212E-2</v>
      </c>
    </row>
    <row r="10" spans="1:18" s="4" customFormat="1" ht="12">
      <c r="A10" s="94" t="s">
        <v>260</v>
      </c>
      <c r="B10" s="88"/>
      <c r="C10" s="88"/>
      <c r="D10" s="3">
        <f>Eureka!D16</f>
        <v>3843</v>
      </c>
      <c r="E10" s="3">
        <f>Eureka!F16</f>
        <v>889897215.16235304</v>
      </c>
      <c r="F10" s="114">
        <f>Eureka!G16</f>
        <v>3504631.081036</v>
      </c>
      <c r="G10" s="114">
        <f>Eureka!H16</f>
        <v>22390093.305917997</v>
      </c>
      <c r="H10" s="114">
        <f>Eureka!I16</f>
        <v>0</v>
      </c>
      <c r="I10" s="114">
        <f>Eureka!J16</f>
        <v>7369443.4399999995</v>
      </c>
      <c r="J10" s="114">
        <f>Eureka!K16</f>
        <v>64.94</v>
      </c>
      <c r="K10" s="114">
        <f>Eureka!L16</f>
        <v>18525345.886954002</v>
      </c>
      <c r="L10" s="114">
        <f>Eureka!M16</f>
        <v>495231.66</v>
      </c>
      <c r="M10" s="114">
        <f>Eureka!N16</f>
        <v>18030114.226953998</v>
      </c>
      <c r="N10" s="114">
        <f>Eureka!O16</f>
        <v>0</v>
      </c>
      <c r="O10" s="114">
        <f>Eureka!P16</f>
        <v>1182728.73</v>
      </c>
      <c r="P10" s="571">
        <f>Eureka!Q16</f>
        <v>16847385.496954001</v>
      </c>
      <c r="R10" s="387">
        <f>Eureka!M17</f>
        <v>2.6732653901418064E-2</v>
      </c>
    </row>
    <row r="11" spans="1:18" s="4" customFormat="1" ht="12">
      <c r="A11" s="94" t="s">
        <v>261</v>
      </c>
      <c r="B11" s="88"/>
      <c r="C11" s="88"/>
      <c r="D11" s="3">
        <f>Humboldt!D22</f>
        <v>15940</v>
      </c>
      <c r="E11" s="3">
        <f>Humboldt!F22</f>
        <v>1472840713.1994116</v>
      </c>
      <c r="F11" s="114">
        <f>Humboldt!G22</f>
        <v>7417515.5355090005</v>
      </c>
      <c r="G11" s="114">
        <f>Humboldt!H22</f>
        <v>32400662.046771999</v>
      </c>
      <c r="H11" s="114">
        <f>Humboldt!I22</f>
        <v>0</v>
      </c>
      <c r="I11" s="114">
        <f>Humboldt!J22</f>
        <v>1848777.86</v>
      </c>
      <c r="J11" s="114">
        <f>Humboldt!K22</f>
        <v>256.93</v>
      </c>
      <c r="K11" s="114">
        <f>Humboldt!L22</f>
        <v>37969656.652281001</v>
      </c>
      <c r="L11" s="114">
        <f>Humboldt!M22</f>
        <v>1565445.2</v>
      </c>
      <c r="M11" s="114">
        <f>Humboldt!N22</f>
        <v>36404211.452281006</v>
      </c>
      <c r="N11" s="114">
        <f>Humboldt!O22</f>
        <v>0</v>
      </c>
      <c r="O11" s="114">
        <f>Humboldt!P22</f>
        <v>263050</v>
      </c>
      <c r="P11" s="571">
        <f>Humboldt!Q22</f>
        <v>36141161.452281006</v>
      </c>
      <c r="R11" s="387">
        <f>Humboldt!M23</f>
        <v>4.1228847928124653E-2</v>
      </c>
    </row>
    <row r="12" spans="1:18" s="4" customFormat="1" ht="12">
      <c r="A12" s="94" t="s">
        <v>262</v>
      </c>
      <c r="B12" s="91"/>
      <c r="C12" s="91"/>
      <c r="D12" s="115">
        <f>Lander!D15</f>
        <v>6774</v>
      </c>
      <c r="E12" s="115">
        <f>Lander!F15</f>
        <v>830269701.19411778</v>
      </c>
      <c r="F12" s="114">
        <f>Lander!G15</f>
        <v>3412840.5338819996</v>
      </c>
      <c r="G12" s="114">
        <f>Lander!H15</f>
        <v>26504695.309670001</v>
      </c>
      <c r="H12" s="114">
        <f>Lander!I15</f>
        <v>0</v>
      </c>
      <c r="I12" s="114">
        <f>Lander!J15</f>
        <v>1984484.7999999998</v>
      </c>
      <c r="J12" s="114">
        <f>Lander!K15</f>
        <v>92.86</v>
      </c>
      <c r="K12" s="114">
        <f>Lander!L15</f>
        <v>27933143.903551999</v>
      </c>
      <c r="L12" s="114">
        <f>Lander!M15</f>
        <v>667184.69999999995</v>
      </c>
      <c r="M12" s="114">
        <f>Lander!N15</f>
        <v>27265959.203552</v>
      </c>
      <c r="N12" s="114">
        <f>Lander!O15</f>
        <v>0</v>
      </c>
      <c r="O12" s="114">
        <f>Lander!P15</f>
        <v>1542783.9</v>
      </c>
      <c r="P12" s="571">
        <f>Lander!Q15</f>
        <v>25723175.303552002</v>
      </c>
      <c r="R12" s="387">
        <f>Lander!M16</f>
        <v>2.3885055771153647E-2</v>
      </c>
    </row>
    <row r="13" spans="1:18" s="4" customFormat="1" ht="12">
      <c r="A13" s="94" t="s">
        <v>263</v>
      </c>
      <c r="B13" s="88"/>
      <c r="C13" s="88"/>
      <c r="D13" s="3">
        <f>Lincoln!D22</f>
        <v>4681</v>
      </c>
      <c r="E13" s="3">
        <f>Lincoln!F22</f>
        <v>407450780.63999999</v>
      </c>
      <c r="F13" s="146">
        <f>Lincoln!G22</f>
        <v>727867.00151800015</v>
      </c>
      <c r="G13" s="146">
        <f>Lincoln!H22</f>
        <v>12355065.601717005</v>
      </c>
      <c r="H13" s="146">
        <f>Lincoln!I22</f>
        <v>0</v>
      </c>
      <c r="I13" s="146">
        <f>Lincoln!J22</f>
        <v>582876.89</v>
      </c>
      <c r="J13" s="146">
        <f>Lincoln!K22</f>
        <v>2801.0699999999997</v>
      </c>
      <c r="K13" s="146">
        <f>Lincoln!L22</f>
        <v>12502856.783235</v>
      </c>
      <c r="L13" s="146">
        <f>Lincoln!M22</f>
        <v>853266.5900000002</v>
      </c>
      <c r="M13" s="146">
        <f>Lincoln!N22</f>
        <v>11649590.193234999</v>
      </c>
      <c r="N13" s="146">
        <f>Lincoln!O22</f>
        <v>0</v>
      </c>
      <c r="O13" s="146">
        <f>Lincoln!P22</f>
        <v>1579810.9</v>
      </c>
      <c r="P13" s="572">
        <f>Lincoln!Q22</f>
        <v>10069851.009913659</v>
      </c>
      <c r="R13" s="388">
        <f>Lincoln!M23</f>
        <v>6.8245730139382219E-2</v>
      </c>
    </row>
    <row r="14" spans="1:18" s="4" customFormat="1" ht="12">
      <c r="A14" s="94" t="s">
        <v>264</v>
      </c>
      <c r="B14" s="93"/>
      <c r="C14" s="93"/>
      <c r="D14" s="3">
        <f>'Lyon '!D25</f>
        <v>34069</v>
      </c>
      <c r="E14" s="3">
        <f>'Lyon '!F25</f>
        <v>3575677929.4941177</v>
      </c>
      <c r="F14" s="146">
        <f>'Lyon '!G25</f>
        <v>6609923.2843960011</v>
      </c>
      <c r="G14" s="146">
        <f>'Lyon '!H25</f>
        <v>121920580.35522103</v>
      </c>
      <c r="H14" s="146">
        <f>'Lyon '!I25</f>
        <v>0</v>
      </c>
      <c r="I14" s="146">
        <f>'Lyon '!J25</f>
        <v>1676451.2799999998</v>
      </c>
      <c r="J14" s="146">
        <f>'Lyon '!K25</f>
        <v>1838.01</v>
      </c>
      <c r="K14" s="146">
        <f>'Lyon '!L25</f>
        <v>126855890.36961703</v>
      </c>
      <c r="L14" s="146">
        <f>'Lyon '!M25</f>
        <v>35485988.310000002</v>
      </c>
      <c r="M14" s="146">
        <f>'Lyon '!N25</f>
        <v>91369902.059616998</v>
      </c>
      <c r="N14" s="146">
        <f>'Lyon '!O25</f>
        <v>0</v>
      </c>
      <c r="O14" s="146">
        <f>'Lyon '!P25</f>
        <v>214899.38999999998</v>
      </c>
      <c r="P14" s="572">
        <f>'Lyon '!Q25</f>
        <v>91155002.669617012</v>
      </c>
      <c r="R14" s="388">
        <f>'Lyon '!M26</f>
        <v>0.27973465171073503</v>
      </c>
    </row>
    <row r="15" spans="1:18" s="4" customFormat="1" ht="12">
      <c r="A15" s="94" t="s">
        <v>265</v>
      </c>
      <c r="B15" s="88"/>
      <c r="C15" s="88"/>
      <c r="D15" s="3">
        <f>Mineral!D12</f>
        <v>3596</v>
      </c>
      <c r="E15" s="3">
        <f>Mineral!F12</f>
        <v>246728027.68117645</v>
      </c>
      <c r="F15" s="114">
        <f>Mineral!G12</f>
        <v>3076387.5231409604</v>
      </c>
      <c r="G15" s="114">
        <f>Mineral!H12</f>
        <v>7382134.6944699995</v>
      </c>
      <c r="H15" s="114">
        <f>Mineral!I12</f>
        <v>98854.965379039291</v>
      </c>
      <c r="I15" s="114">
        <f>Mineral!J12</f>
        <v>1335322.98</v>
      </c>
      <c r="J15" s="114">
        <f>Mineral!K12</f>
        <v>491.03</v>
      </c>
      <c r="K15" s="114">
        <f>Mineral!L12</f>
        <v>9222545.2329900004</v>
      </c>
      <c r="L15" s="114">
        <f>Mineral!M12</f>
        <v>225100.36999999997</v>
      </c>
      <c r="M15" s="114">
        <f>Mineral!N12</f>
        <v>8997444.8629900012</v>
      </c>
      <c r="N15" s="114">
        <f>Mineral!O12</f>
        <v>0</v>
      </c>
      <c r="O15" s="114">
        <f>Mineral!P12</f>
        <v>885981.70000000007</v>
      </c>
      <c r="P15" s="571">
        <f>Mineral!Q12</f>
        <v>8111463.1629900001</v>
      </c>
      <c r="R15" s="387">
        <f>Mineral!M13</f>
        <v>2.4407618972124161E-2</v>
      </c>
    </row>
    <row r="16" spans="1:18" s="4" customFormat="1" ht="12">
      <c r="A16" s="94" t="s">
        <v>266</v>
      </c>
      <c r="B16" s="88"/>
      <c r="C16" s="88"/>
      <c r="D16" s="3">
        <f>'Nye '!D25</f>
        <v>58339</v>
      </c>
      <c r="E16" s="3">
        <f>'Nye '!F25</f>
        <v>2524073747.8958821</v>
      </c>
      <c r="F16" s="114">
        <f>'Nye '!G25</f>
        <v>7241450.3073329981</v>
      </c>
      <c r="G16" s="114">
        <f>'Nye '!H25</f>
        <v>82055078.494517013</v>
      </c>
      <c r="H16" s="114">
        <f>'Nye '!I25</f>
        <v>0</v>
      </c>
      <c r="I16" s="114">
        <f>'Nye '!J25</f>
        <v>3057066.5400000005</v>
      </c>
      <c r="J16" s="114">
        <f>'Nye '!K25</f>
        <v>5287.1699999999992</v>
      </c>
      <c r="K16" s="114">
        <f>'Nye '!L25</f>
        <v>86244749.431850031</v>
      </c>
      <c r="L16" s="114">
        <f>'Nye '!M25</f>
        <v>16513093.039999999</v>
      </c>
      <c r="M16" s="114">
        <f>'Nye '!N25</f>
        <v>69731656.39185001</v>
      </c>
      <c r="N16" s="114">
        <f>'Nye '!O25</f>
        <v>0</v>
      </c>
      <c r="O16" s="114">
        <f>'Nye '!P25</f>
        <v>2143025.12</v>
      </c>
      <c r="P16" s="571">
        <f>'Nye '!Q25</f>
        <v>67588631.27184999</v>
      </c>
      <c r="R16" s="387">
        <f>'Nye '!M26</f>
        <v>0.19146780701181726</v>
      </c>
    </row>
    <row r="17" spans="1:18" s="4" customFormat="1" ht="12">
      <c r="A17" s="94" t="s">
        <v>267</v>
      </c>
      <c r="B17" s="88"/>
      <c r="C17" s="88"/>
      <c r="D17" s="3">
        <f>Pershing!D14</f>
        <v>10681</v>
      </c>
      <c r="E17" s="3">
        <f>Pershing!F14</f>
        <v>643973840.86117649</v>
      </c>
      <c r="F17" s="114">
        <f>Pershing!G14</f>
        <v>446841.18999999994</v>
      </c>
      <c r="G17" s="114">
        <f>Pershing!H14</f>
        <v>19829877.317960002</v>
      </c>
      <c r="H17" s="114">
        <f>Pershing!I14</f>
        <v>0</v>
      </c>
      <c r="I17" s="114">
        <f>Pershing!J14</f>
        <v>111916.04000000002</v>
      </c>
      <c r="J17" s="114">
        <f>Pershing!K14</f>
        <v>469.13</v>
      </c>
      <c r="K17" s="114">
        <f>Pershing!L14</f>
        <v>20165271.597960003</v>
      </c>
      <c r="L17" s="114">
        <f>Pershing!M14</f>
        <v>572022.27</v>
      </c>
      <c r="M17" s="114">
        <f>Pershing!N14</f>
        <v>19593249.327959999</v>
      </c>
      <c r="N17" s="114">
        <f>Pershing!O14</f>
        <v>0</v>
      </c>
      <c r="O17" s="114">
        <f>Pershing!P14</f>
        <v>297917.39</v>
      </c>
      <c r="P17" s="114">
        <f>Pershing!Q14</f>
        <v>19295331.937960003</v>
      </c>
      <c r="R17" s="387">
        <f>Pershing!M15</f>
        <v>2.8366702983453396E-2</v>
      </c>
    </row>
    <row r="18" spans="1:18" s="4" customFormat="1" ht="12">
      <c r="A18" s="94" t="s">
        <v>268</v>
      </c>
      <c r="B18" s="88"/>
      <c r="C18" s="88"/>
      <c r="D18" s="3">
        <f>Storey!D12</f>
        <v>4805</v>
      </c>
      <c r="E18" s="3">
        <f>Storey!F12</f>
        <v>5636417067.1741171</v>
      </c>
      <c r="F18" s="114">
        <f>Storey!G12</f>
        <v>47924703.411718003</v>
      </c>
      <c r="G18" s="114">
        <f>Storey!H12</f>
        <v>147509450.84220898</v>
      </c>
      <c r="H18" s="114">
        <f>Storey!I12</f>
        <v>0</v>
      </c>
      <c r="I18" s="114">
        <f>Storey!J12</f>
        <v>373465.51</v>
      </c>
      <c r="J18" s="114">
        <f>Storey!K12</f>
        <v>68799.13</v>
      </c>
      <c r="K18" s="114">
        <f>Storey!L12</f>
        <v>195129487.873927</v>
      </c>
      <c r="L18" s="114">
        <f>Storey!M12</f>
        <v>7998917.3599999994</v>
      </c>
      <c r="M18" s="114">
        <f>Storey!N12</f>
        <v>187130570.51392704</v>
      </c>
      <c r="N18" s="114">
        <f>Storey!O12</f>
        <v>0</v>
      </c>
      <c r="O18" s="114">
        <f>Storey!P12</f>
        <v>0</v>
      </c>
      <c r="P18" s="114">
        <f>Storey!Q12</f>
        <v>187130570.51392704</v>
      </c>
      <c r="R18" s="387">
        <f>Storey!M13</f>
        <v>4.0992868105963018E-2</v>
      </c>
    </row>
    <row r="19" spans="1:18" s="4" customFormat="1" ht="12">
      <c r="A19" s="94" t="s">
        <v>269</v>
      </c>
      <c r="B19" s="88"/>
      <c r="C19" s="88"/>
      <c r="D19" s="3">
        <f>Washoe!D26</f>
        <v>192380</v>
      </c>
      <c r="E19" s="3">
        <f>Washoe!F26</f>
        <v>36303710751.791176</v>
      </c>
      <c r="F19" s="114">
        <f>Washoe!G26</f>
        <v>58464720.952969998</v>
      </c>
      <c r="G19" s="114">
        <f>Washoe!H26</f>
        <v>1267776308.6967518</v>
      </c>
      <c r="H19" s="114">
        <f>Washoe!I26</f>
        <v>0</v>
      </c>
      <c r="I19" s="114">
        <f>Washoe!J26</f>
        <v>141337051.05000001</v>
      </c>
      <c r="J19" s="114">
        <f>Washoe!K26</f>
        <v>6091.83</v>
      </c>
      <c r="K19" s="114">
        <f>Washoe!L26</f>
        <v>1184910070.4297223</v>
      </c>
      <c r="L19" s="114">
        <f>Washoe!M26</f>
        <v>231075628.28999996</v>
      </c>
      <c r="M19" s="114">
        <f>Washoe!N26</f>
        <v>953834442.13972211</v>
      </c>
      <c r="N19" s="114">
        <f>Washoe!O26</f>
        <v>24412246.289999995</v>
      </c>
      <c r="O19" s="114">
        <f>Washoe!P26</f>
        <v>218324.81</v>
      </c>
      <c r="P19" s="114">
        <f>Washoe!Q26</f>
        <v>923881958.07722199</v>
      </c>
      <c r="R19" s="387">
        <f>Washoe!M27</f>
        <v>0.19501532990279805</v>
      </c>
    </row>
    <row r="20" spans="1:18" s="4" customFormat="1" ht="12">
      <c r="A20" s="94" t="s">
        <v>270</v>
      </c>
      <c r="B20" s="91"/>
      <c r="C20" s="91"/>
      <c r="D20" s="116">
        <f>'White Pine'!D12</f>
        <v>7727</v>
      </c>
      <c r="E20" s="116">
        <f>'White Pine'!F12</f>
        <v>599347036.22176468</v>
      </c>
      <c r="F20" s="147">
        <f>'White Pine'!G12</f>
        <v>3318326.0534000001</v>
      </c>
      <c r="G20" s="147">
        <f>'White Pine'!H12</f>
        <v>18697872.2064</v>
      </c>
      <c r="H20" s="147">
        <f>'White Pine'!I12</f>
        <v>0</v>
      </c>
      <c r="I20" s="147">
        <f>'White Pine'!J12</f>
        <v>78414.84</v>
      </c>
      <c r="J20" s="147">
        <f>'White Pine'!K12</f>
        <v>1252.2900000000002</v>
      </c>
      <c r="K20" s="147">
        <f>'White Pine'!L12</f>
        <v>21939035.709799998</v>
      </c>
      <c r="L20" s="147">
        <f>'White Pine'!M12</f>
        <v>2546202.54</v>
      </c>
      <c r="M20" s="147">
        <f>'White Pine'!N12</f>
        <v>19392833.169799998</v>
      </c>
      <c r="N20" s="147">
        <f>'White Pine'!O12</f>
        <v>193707.34000000003</v>
      </c>
      <c r="O20" s="147">
        <f>'White Pine'!P12</f>
        <v>438225.53</v>
      </c>
      <c r="P20" s="147">
        <f>'White Pine'!Q12</f>
        <v>18760900.299800001</v>
      </c>
      <c r="R20" s="389">
        <f>'White Pine'!M13</f>
        <v>0.11605808813477755</v>
      </c>
    </row>
    <row r="21" spans="1:18" s="4" customFormat="1" ht="12">
      <c r="A21" s="94"/>
      <c r="B21" s="88"/>
      <c r="C21" s="88"/>
      <c r="D21" s="3"/>
      <c r="E21" s="3"/>
      <c r="F21" s="114"/>
      <c r="G21" s="114"/>
      <c r="H21" s="114"/>
      <c r="I21" s="114"/>
      <c r="J21" s="114"/>
      <c r="K21" s="114"/>
      <c r="L21" s="114"/>
      <c r="M21" s="114"/>
      <c r="N21" s="501"/>
      <c r="O21" s="114"/>
      <c r="P21" s="114"/>
    </row>
    <row r="22" spans="1:18" s="4" customFormat="1" ht="12.75" thickBot="1">
      <c r="A22" s="94" t="s">
        <v>271</v>
      </c>
      <c r="B22" s="93"/>
      <c r="C22" s="93"/>
      <c r="D22" s="117">
        <f>SUM(D4:D20)</f>
        <v>1310897</v>
      </c>
      <c r="E22" s="117">
        <f t="shared" ref="E22:O22" si="0">SUM(E4:E20)</f>
        <v>246332297679.79352</v>
      </c>
      <c r="F22" s="118">
        <f t="shared" si="0"/>
        <v>276751954.06967604</v>
      </c>
      <c r="G22" s="118">
        <f>SUM(G4:G20)</f>
        <v>7511491260.1236153</v>
      </c>
      <c r="H22" s="118">
        <f t="shared" si="0"/>
        <v>1345920.4862928898</v>
      </c>
      <c r="I22" s="118">
        <f t="shared" si="0"/>
        <v>686005497.85000002</v>
      </c>
      <c r="J22" s="118">
        <f t="shared" si="0"/>
        <v>93199.35</v>
      </c>
      <c r="K22" s="118">
        <f>SUM(K4:K20)</f>
        <v>7103676836.1795835</v>
      </c>
      <c r="L22" s="118">
        <f t="shared" si="0"/>
        <v>1376515057.9399998</v>
      </c>
      <c r="M22" s="118">
        <f t="shared" si="0"/>
        <v>5727161778.239583</v>
      </c>
      <c r="N22" s="118">
        <f t="shared" si="0"/>
        <v>36020662.710000001</v>
      </c>
      <c r="O22" s="118">
        <f t="shared" si="0"/>
        <v>10162139.07</v>
      </c>
      <c r="P22" s="118">
        <f>SUM(P4:P20)</f>
        <v>5675657106.0137587</v>
      </c>
    </row>
    <row r="23" spans="1:18" s="4" customFormat="1" ht="12.75" thickTop="1">
      <c r="A23" s="119"/>
      <c r="B23" s="529" t="s">
        <v>550</v>
      </c>
      <c r="C23" s="88"/>
      <c r="D23" s="543">
        <f>(+D22/D46)-1</f>
        <v>7.9403646093636482E-3</v>
      </c>
      <c r="E23" s="543">
        <f t="shared" ref="E23:P23" si="1">(+E22/E46)-1</f>
        <v>3.1271902680513719E-2</v>
      </c>
      <c r="F23" s="543">
        <f t="shared" si="1"/>
        <v>0.31358126868105529</v>
      </c>
      <c r="G23" s="543">
        <f t="shared" si="1"/>
        <v>2.8243825734092232E-2</v>
      </c>
      <c r="H23" s="543">
        <f t="shared" si="1"/>
        <v>9.2630332617811506E-2</v>
      </c>
      <c r="I23" s="543">
        <f t="shared" si="1"/>
        <v>-5.3708533337488706E-3</v>
      </c>
      <c r="J23" s="543">
        <f t="shared" si="1"/>
        <v>-0.16824874533642642</v>
      </c>
      <c r="K23" s="543">
        <f t="shared" si="1"/>
        <v>4.0453008559394599E-2</v>
      </c>
      <c r="L23" s="543">
        <f t="shared" si="1"/>
        <v>-6.825780152179628E-2</v>
      </c>
      <c r="M23" s="543">
        <f t="shared" si="1"/>
        <v>7.047183625949649E-2</v>
      </c>
      <c r="N23" s="543">
        <f t="shared" si="1"/>
        <v>0.10515815849927157</v>
      </c>
      <c r="O23" s="543">
        <f t="shared" si="1"/>
        <v>0.17418378152486658</v>
      </c>
      <c r="P23" s="543">
        <f t="shared" si="1"/>
        <v>7.0035707102377609E-2</v>
      </c>
      <c r="R23" s="387">
        <f>+L24</f>
        <v>0.19377501112231071</v>
      </c>
    </row>
    <row r="24" spans="1:18" s="4" customFormat="1" ht="12">
      <c r="A24" s="119"/>
      <c r="B24" s="88"/>
      <c r="C24" s="88"/>
      <c r="D24" s="3"/>
      <c r="E24" s="3"/>
      <c r="F24" s="114"/>
      <c r="G24" s="114"/>
      <c r="H24" s="114"/>
      <c r="I24" s="114"/>
      <c r="J24" s="114"/>
      <c r="K24" s="276" t="s">
        <v>388</v>
      </c>
      <c r="L24" s="277">
        <f>L22/K22</f>
        <v>0.19377501112231071</v>
      </c>
      <c r="M24" s="114"/>
      <c r="N24" s="114"/>
      <c r="O24" s="114"/>
      <c r="P24" s="114"/>
    </row>
    <row r="25" spans="1:18" s="4" customFormat="1" ht="12">
      <c r="A25" s="119"/>
      <c r="B25" s="88"/>
      <c r="C25" s="88"/>
      <c r="D25" s="3"/>
      <c r="E25" s="3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</row>
    <row r="26" spans="1:18" s="4" customFormat="1" ht="77.25" thickBot="1">
      <c r="A26" s="6" t="s">
        <v>1</v>
      </c>
      <c r="B26" s="7" t="s">
        <v>498</v>
      </c>
      <c r="C26" s="7" t="s">
        <v>499</v>
      </c>
      <c r="D26" s="8" t="s">
        <v>2</v>
      </c>
      <c r="E26" s="8" t="s">
        <v>191</v>
      </c>
      <c r="F26" s="107" t="s">
        <v>3</v>
      </c>
      <c r="G26" s="107" t="s">
        <v>4</v>
      </c>
      <c r="H26" s="107" t="s">
        <v>5</v>
      </c>
      <c r="I26" s="107" t="s">
        <v>6</v>
      </c>
      <c r="J26" s="107" t="s">
        <v>7</v>
      </c>
      <c r="K26" s="107" t="s">
        <v>353</v>
      </c>
      <c r="L26" s="107" t="s">
        <v>8</v>
      </c>
      <c r="M26" s="107" t="s">
        <v>354</v>
      </c>
      <c r="N26" s="107" t="s">
        <v>9</v>
      </c>
      <c r="O26" s="8" t="s">
        <v>397</v>
      </c>
      <c r="P26" s="8" t="s">
        <v>418</v>
      </c>
      <c r="Q26" s="9"/>
      <c r="R26" s="6" t="s">
        <v>460</v>
      </c>
    </row>
    <row r="27" spans="1:18" s="4" customFormat="1" ht="12">
      <c r="A27" s="108"/>
      <c r="B27" s="109"/>
      <c r="C27" s="109"/>
      <c r="D27" s="110"/>
      <c r="E27" s="110"/>
      <c r="F27" s="111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3"/>
      <c r="R27" s="113"/>
    </row>
    <row r="28" spans="1:18" s="4" customFormat="1" ht="12">
      <c r="A28" s="527" t="s">
        <v>0</v>
      </c>
      <c r="B28" s="88"/>
      <c r="C28" s="88"/>
      <c r="D28" s="3">
        <v>20551</v>
      </c>
      <c r="E28" s="3">
        <v>2617618908.1488237</v>
      </c>
      <c r="F28" s="114">
        <v>3333571.9388000001</v>
      </c>
      <c r="G28" s="114">
        <v>90509135.669500008</v>
      </c>
      <c r="H28" s="114">
        <v>0</v>
      </c>
      <c r="I28" s="114">
        <v>315042.01000000007</v>
      </c>
      <c r="J28" s="114">
        <v>1032.1500000000001</v>
      </c>
      <c r="K28" s="114">
        <v>93528697.748300001</v>
      </c>
      <c r="L28" s="114">
        <v>15949422.289999999</v>
      </c>
      <c r="M28" s="114">
        <v>77579275.458300009</v>
      </c>
      <c r="N28" s="114">
        <v>4282239.5376163321</v>
      </c>
      <c r="O28" s="114">
        <v>0</v>
      </c>
      <c r="P28" s="114">
        <v>73297035.920683667</v>
      </c>
      <c r="R28" s="387">
        <v>0.17052971626871496</v>
      </c>
    </row>
    <row r="29" spans="1:18" s="4" customFormat="1" ht="12">
      <c r="A29" s="527" t="s">
        <v>255</v>
      </c>
      <c r="B29" s="528"/>
      <c r="C29" s="528"/>
      <c r="D29" s="3">
        <v>12363</v>
      </c>
      <c r="E29" s="3">
        <v>1183056200.5835292</v>
      </c>
      <c r="F29" s="114">
        <v>1476272.269603</v>
      </c>
      <c r="G29" s="114">
        <v>34982888.881853998</v>
      </c>
      <c r="H29" s="114">
        <v>261167.1</v>
      </c>
      <c r="I29" s="114">
        <v>379038.61999999988</v>
      </c>
      <c r="J29" s="114">
        <v>2778.38</v>
      </c>
      <c r="K29" s="114">
        <v>36344068.011456996</v>
      </c>
      <c r="L29" s="114">
        <v>4137508.4400000004</v>
      </c>
      <c r="M29" s="114">
        <v>32206559.571456999</v>
      </c>
      <c r="N29" s="114">
        <v>0</v>
      </c>
      <c r="O29" s="114">
        <v>293291.51250000001</v>
      </c>
      <c r="P29" s="114">
        <v>31913268.058956996</v>
      </c>
      <c r="R29" s="387">
        <v>0.11384274426010056</v>
      </c>
    </row>
    <row r="30" spans="1:18" s="4" customFormat="1" ht="12">
      <c r="A30" s="527" t="s">
        <v>256</v>
      </c>
      <c r="B30" s="88"/>
      <c r="C30" s="88"/>
      <c r="D30" s="3">
        <v>852856</v>
      </c>
      <c r="E30" s="3">
        <v>177763496069.85294</v>
      </c>
      <c r="F30" s="114">
        <v>123723212.69000007</v>
      </c>
      <c r="G30" s="114">
        <v>5249802498.1300001</v>
      </c>
      <c r="H30" s="114">
        <v>0</v>
      </c>
      <c r="I30" s="114">
        <v>534195020.07999998</v>
      </c>
      <c r="J30" s="114">
        <v>2302.34</v>
      </c>
      <c r="K30" s="114">
        <v>4839332993.0799999</v>
      </c>
      <c r="L30" s="114">
        <v>1110161242.4100003</v>
      </c>
      <c r="M30" s="114">
        <v>3729171750.6699986</v>
      </c>
      <c r="N30" s="114">
        <v>2449271.5397373741</v>
      </c>
      <c r="O30" s="114">
        <v>1464214.2548440001</v>
      </c>
      <c r="P30" s="114">
        <v>3725258234.2126698</v>
      </c>
      <c r="R30" s="387">
        <v>0.22940377196557343</v>
      </c>
    </row>
    <row r="31" spans="1:18" s="4" customFormat="1" ht="12">
      <c r="A31" s="527" t="s">
        <v>257</v>
      </c>
      <c r="B31" s="88"/>
      <c r="C31" s="88"/>
      <c r="D31" s="3">
        <v>27870</v>
      </c>
      <c r="E31" s="3">
        <v>5028968895.5829411</v>
      </c>
      <c r="F31" s="114">
        <v>4217606.7999447417</v>
      </c>
      <c r="G31" s="114">
        <v>151606017.09141803</v>
      </c>
      <c r="H31" s="114">
        <v>874003.47837125848</v>
      </c>
      <c r="I31" s="114">
        <v>562271.18999999994</v>
      </c>
      <c r="J31" s="114">
        <v>9478.9499999999989</v>
      </c>
      <c r="K31" s="114">
        <v>156144835.12973404</v>
      </c>
      <c r="L31" s="114">
        <v>27324324.330000002</v>
      </c>
      <c r="M31" s="114">
        <v>128820510.79973404</v>
      </c>
      <c r="N31" s="114">
        <v>2622230.6144136945</v>
      </c>
      <c r="O31" s="114">
        <v>308637.95999999996</v>
      </c>
      <c r="P31" s="114">
        <v>125889642.22532035</v>
      </c>
      <c r="R31" s="387">
        <v>0.17499345596219942</v>
      </c>
    </row>
    <row r="32" spans="1:18" s="4" customFormat="1" ht="12">
      <c r="A32" s="527" t="s">
        <v>258</v>
      </c>
      <c r="B32" s="88"/>
      <c r="C32" s="88"/>
      <c r="D32" s="3">
        <v>43343</v>
      </c>
      <c r="E32" s="3">
        <v>2531960467.3658819</v>
      </c>
      <c r="F32" s="114">
        <v>2527044.248782</v>
      </c>
      <c r="G32" s="114">
        <v>76056533.707041994</v>
      </c>
      <c r="H32" s="114">
        <v>0</v>
      </c>
      <c r="I32" s="114">
        <v>1879320.4700000002</v>
      </c>
      <c r="J32" s="114">
        <v>4439.9499999999989</v>
      </c>
      <c r="K32" s="114">
        <v>76708697.435824007</v>
      </c>
      <c r="L32" s="114">
        <v>4266018.76</v>
      </c>
      <c r="M32" s="114">
        <v>72442678.675823987</v>
      </c>
      <c r="N32" s="114">
        <v>957711.58000000007</v>
      </c>
      <c r="O32" s="114">
        <v>280.75</v>
      </c>
      <c r="P32" s="114">
        <v>71484686.345823988</v>
      </c>
      <c r="R32" s="387">
        <v>0</v>
      </c>
    </row>
    <row r="33" spans="1:20" s="4" customFormat="1" ht="12">
      <c r="A33" s="527" t="s">
        <v>259</v>
      </c>
      <c r="B33" s="88"/>
      <c r="C33" s="88"/>
      <c r="D33" s="3">
        <v>2578</v>
      </c>
      <c r="E33" s="3">
        <v>138512859.8017647</v>
      </c>
      <c r="F33" s="114">
        <v>445516.61998600001</v>
      </c>
      <c r="G33" s="114">
        <v>4395408.3702509999</v>
      </c>
      <c r="H33" s="114">
        <v>0</v>
      </c>
      <c r="I33" s="114">
        <v>520570.31000000006</v>
      </c>
      <c r="J33" s="114">
        <v>6.2499999999999991</v>
      </c>
      <c r="K33" s="114">
        <v>4320360.9302369999</v>
      </c>
      <c r="L33" s="114">
        <v>54697.31</v>
      </c>
      <c r="M33" s="114">
        <v>4265663.6202370003</v>
      </c>
      <c r="N33" s="114">
        <v>0</v>
      </c>
      <c r="O33" s="114">
        <v>0</v>
      </c>
      <c r="P33" s="114">
        <v>4265663.6202370003</v>
      </c>
      <c r="R33" s="387">
        <v>1.2660356595947527E-2</v>
      </c>
    </row>
    <row r="34" spans="1:20" s="46" customFormat="1" ht="12">
      <c r="A34" s="527" t="s">
        <v>260</v>
      </c>
      <c r="B34" s="88"/>
      <c r="C34" s="88"/>
      <c r="D34" s="3">
        <v>3852</v>
      </c>
      <c r="E34" s="3">
        <v>884733833.05235291</v>
      </c>
      <c r="F34" s="114">
        <v>966567.66776500014</v>
      </c>
      <c r="G34" s="114">
        <v>23294122.561503004</v>
      </c>
      <c r="H34" s="114">
        <v>0</v>
      </c>
      <c r="I34" s="114">
        <v>5845255.0499999998</v>
      </c>
      <c r="J34" s="114">
        <v>1681.36</v>
      </c>
      <c r="K34" s="114">
        <v>18417116.539268002</v>
      </c>
      <c r="L34" s="114">
        <v>603827.94000000018</v>
      </c>
      <c r="M34" s="114">
        <v>17813288.599267997</v>
      </c>
      <c r="N34" s="114">
        <v>0</v>
      </c>
      <c r="O34" s="114">
        <v>1191554.01</v>
      </c>
      <c r="P34" s="114">
        <v>16621734.589268001</v>
      </c>
      <c r="Q34" s="4"/>
      <c r="R34" s="387">
        <v>3.2786236581201521E-2</v>
      </c>
      <c r="S34" s="4"/>
      <c r="T34" s="4"/>
    </row>
    <row r="35" spans="1:20" s="46" customFormat="1" ht="12">
      <c r="A35" s="527" t="s">
        <v>261</v>
      </c>
      <c r="B35" s="88"/>
      <c r="C35" s="88"/>
      <c r="D35" s="3">
        <v>15878</v>
      </c>
      <c r="E35" s="3">
        <v>1322972349.1682353</v>
      </c>
      <c r="F35" s="114">
        <v>3273205.143193</v>
      </c>
      <c r="G35" s="114">
        <v>32646991.813853998</v>
      </c>
      <c r="H35" s="114">
        <v>0</v>
      </c>
      <c r="I35" s="114">
        <v>1864473.93</v>
      </c>
      <c r="J35" s="114">
        <v>514.84</v>
      </c>
      <c r="K35" s="114">
        <v>34056237.867046997</v>
      </c>
      <c r="L35" s="114">
        <v>1716494.6299999997</v>
      </c>
      <c r="M35" s="114">
        <v>32339743.237046991</v>
      </c>
      <c r="N35" s="114">
        <v>0</v>
      </c>
      <c r="O35" s="114">
        <v>527040.69999999995</v>
      </c>
      <c r="P35" s="571">
        <v>31812702.537046999</v>
      </c>
      <c r="Q35" s="4"/>
      <c r="R35" s="387">
        <v>5.0401768883018325E-2</v>
      </c>
      <c r="S35" s="4"/>
      <c r="T35" s="4"/>
    </row>
    <row r="36" spans="1:20" s="4" customFormat="1" ht="12">
      <c r="A36" s="527" t="s">
        <v>262</v>
      </c>
      <c r="B36" s="529"/>
      <c r="C36" s="529"/>
      <c r="D36" s="3">
        <v>6728</v>
      </c>
      <c r="E36" s="3">
        <v>785841108.00176477</v>
      </c>
      <c r="F36" s="114">
        <v>2724628.5108139999</v>
      </c>
      <c r="G36" s="114">
        <v>25611436.835453995</v>
      </c>
      <c r="H36" s="114">
        <v>0</v>
      </c>
      <c r="I36" s="114">
        <v>1895862.42</v>
      </c>
      <c r="J36" s="114">
        <v>161.52000000000001</v>
      </c>
      <c r="K36" s="114">
        <v>26440364.446268</v>
      </c>
      <c r="L36" s="114">
        <v>710666.25999999989</v>
      </c>
      <c r="M36" s="114">
        <v>25729698.186268002</v>
      </c>
      <c r="N36" s="114">
        <v>0</v>
      </c>
      <c r="O36" s="114">
        <v>251052.27750000003</v>
      </c>
      <c r="P36" s="571">
        <v>25478645.908768006</v>
      </c>
      <c r="R36" s="387">
        <v>2.6878081103768936E-2</v>
      </c>
    </row>
    <row r="37" spans="1:20" s="4" customFormat="1" ht="12">
      <c r="A37" s="527" t="s">
        <v>263</v>
      </c>
      <c r="B37" s="88"/>
      <c r="C37" s="88"/>
      <c r="D37" s="3">
        <v>4646</v>
      </c>
      <c r="E37" s="3">
        <v>347552913.53764707</v>
      </c>
      <c r="F37" s="114">
        <v>487776.34017399995</v>
      </c>
      <c r="G37" s="114">
        <v>11559657.576535</v>
      </c>
      <c r="H37" s="114">
        <v>0</v>
      </c>
      <c r="I37" s="114">
        <v>1344854.1899999997</v>
      </c>
      <c r="J37" s="114">
        <v>2985.1799999999994</v>
      </c>
      <c r="K37" s="114">
        <v>10705564.906708997</v>
      </c>
      <c r="L37" s="114">
        <v>926200.77000000014</v>
      </c>
      <c r="M37" s="114">
        <v>9779364.1367090028</v>
      </c>
      <c r="N37" s="114">
        <v>0</v>
      </c>
      <c r="O37" s="114">
        <v>453633.46673874999</v>
      </c>
      <c r="P37" s="571">
        <v>9325730.6699702516</v>
      </c>
      <c r="R37" s="387">
        <v>8.6515824066375591E-2</v>
      </c>
    </row>
    <row r="38" spans="1:20" s="4" customFormat="1" ht="12">
      <c r="A38" s="527" t="s">
        <v>264</v>
      </c>
      <c r="B38" s="528"/>
      <c r="C38" s="528"/>
      <c r="D38" s="3">
        <v>33798</v>
      </c>
      <c r="E38" s="3">
        <v>3386636246.9511766</v>
      </c>
      <c r="F38" s="114">
        <v>4848843.8730540015</v>
      </c>
      <c r="G38" s="114">
        <v>117312796.94501299</v>
      </c>
      <c r="H38" s="114">
        <v>0</v>
      </c>
      <c r="I38" s="114">
        <v>1578381.4500000002</v>
      </c>
      <c r="J38" s="114">
        <v>4324.2100000000009</v>
      </c>
      <c r="K38" s="114">
        <v>120587583.57806702</v>
      </c>
      <c r="L38" s="114">
        <v>35934345.049999997</v>
      </c>
      <c r="M38" s="114">
        <v>84653238.528066993</v>
      </c>
      <c r="N38" s="114">
        <v>0</v>
      </c>
      <c r="O38" s="114">
        <v>19968.651000000002</v>
      </c>
      <c r="P38" s="571">
        <v>84633269.877067</v>
      </c>
      <c r="R38" s="387">
        <v>0.29799374018251651</v>
      </c>
    </row>
    <row r="39" spans="1:20" s="4" customFormat="1" ht="12">
      <c r="A39" s="527" t="s">
        <v>265</v>
      </c>
      <c r="B39" s="88"/>
      <c r="C39" s="88"/>
      <c r="D39" s="3">
        <v>3600</v>
      </c>
      <c r="E39" s="3">
        <v>243928040.77000001</v>
      </c>
      <c r="F39" s="114">
        <v>445481.65662004362</v>
      </c>
      <c r="G39" s="114">
        <v>9341394.6930899993</v>
      </c>
      <c r="H39" s="114">
        <v>96646.300689956319</v>
      </c>
      <c r="I39" s="114">
        <v>1075608.78</v>
      </c>
      <c r="J39" s="114">
        <v>482.86</v>
      </c>
      <c r="K39" s="114">
        <v>8808396.7304000016</v>
      </c>
      <c r="L39" s="114">
        <v>190789.02000000002</v>
      </c>
      <c r="M39" s="114">
        <v>8617607.7104000021</v>
      </c>
      <c r="N39" s="114">
        <v>0</v>
      </c>
      <c r="O39" s="114">
        <v>901481.79</v>
      </c>
      <c r="P39" s="571">
        <v>7716125.9204000011</v>
      </c>
      <c r="R39" s="387">
        <v>2.1659903140095738E-2</v>
      </c>
    </row>
    <row r="40" spans="1:20" s="4" customFormat="1" ht="12">
      <c r="A40" s="527" t="s">
        <v>266</v>
      </c>
      <c r="B40" s="88"/>
      <c r="C40" s="88"/>
      <c r="D40" s="3">
        <v>57992</v>
      </c>
      <c r="E40" s="3">
        <v>2421685712.9529414</v>
      </c>
      <c r="F40" s="114">
        <v>4560909.390120999</v>
      </c>
      <c r="G40" s="114">
        <v>81018719.909428984</v>
      </c>
      <c r="H40" s="114">
        <v>0</v>
      </c>
      <c r="I40" s="114">
        <v>3176095.1500000004</v>
      </c>
      <c r="J40" s="114">
        <v>6021.41</v>
      </c>
      <c r="K40" s="114">
        <v>82409555.559549987</v>
      </c>
      <c r="L40" s="114">
        <v>13505189.660000002</v>
      </c>
      <c r="M40" s="114">
        <v>68904365.899549991</v>
      </c>
      <c r="N40" s="114">
        <v>0</v>
      </c>
      <c r="O40" s="114">
        <v>2278715.903820225</v>
      </c>
      <c r="P40" s="571">
        <v>66625649.995729774</v>
      </c>
      <c r="R40" s="387">
        <v>0.16387892846043822</v>
      </c>
    </row>
    <row r="41" spans="1:20" s="4" customFormat="1" ht="12">
      <c r="A41" s="527" t="s">
        <v>267</v>
      </c>
      <c r="B41" s="88"/>
      <c r="C41" s="88"/>
      <c r="D41" s="3">
        <v>10681</v>
      </c>
      <c r="E41" s="3">
        <v>739650380.48176479</v>
      </c>
      <c r="F41" s="114">
        <v>3024699.0867319996</v>
      </c>
      <c r="G41" s="114">
        <v>20214992.688828003</v>
      </c>
      <c r="H41" s="114">
        <v>0</v>
      </c>
      <c r="I41" s="114">
        <v>129877.75999999998</v>
      </c>
      <c r="J41" s="114">
        <v>304.69</v>
      </c>
      <c r="K41" s="114">
        <v>23110118.705559999</v>
      </c>
      <c r="L41" s="114">
        <v>487089.24000000005</v>
      </c>
      <c r="M41" s="114">
        <v>22623029.46556</v>
      </c>
      <c r="N41" s="114">
        <v>0</v>
      </c>
      <c r="O41" s="114">
        <v>142429.93050000002</v>
      </c>
      <c r="P41" s="114">
        <v>22480599.53506</v>
      </c>
      <c r="R41" s="387">
        <v>2.1076881785242089E-2</v>
      </c>
    </row>
    <row r="42" spans="1:20" s="4" customFormat="1" ht="12">
      <c r="A42" s="527" t="s">
        <v>268</v>
      </c>
      <c r="B42" s="88"/>
      <c r="C42" s="88"/>
      <c r="D42" s="3">
        <v>4819</v>
      </c>
      <c r="E42" s="3">
        <v>3531364754.1917648</v>
      </c>
      <c r="F42" s="114">
        <v>2847777.8099999996</v>
      </c>
      <c r="G42" s="114">
        <v>119812720.71851298</v>
      </c>
      <c r="H42" s="114">
        <v>0</v>
      </c>
      <c r="I42" s="114">
        <v>449124.82000000007</v>
      </c>
      <c r="J42" s="114">
        <v>68663.14</v>
      </c>
      <c r="K42" s="114">
        <v>122280036.84851299</v>
      </c>
      <c r="L42" s="114">
        <v>7381734.0299999993</v>
      </c>
      <c r="M42" s="114">
        <v>114898302.81851301</v>
      </c>
      <c r="N42" s="114">
        <v>0</v>
      </c>
      <c r="O42" s="114">
        <v>0</v>
      </c>
      <c r="P42" s="114">
        <v>114898302.81851301</v>
      </c>
      <c r="R42" s="387">
        <v>6.0367450159872653E-2</v>
      </c>
    </row>
    <row r="43" spans="1:20" s="4" customFormat="1" ht="12">
      <c r="A43" s="527" t="s">
        <v>269</v>
      </c>
      <c r="B43" s="88"/>
      <c r="C43" s="88"/>
      <c r="D43" s="3">
        <v>191289</v>
      </c>
      <c r="E43" s="3">
        <v>35308878732.651176</v>
      </c>
      <c r="F43" s="114">
        <v>50147221.369521998</v>
      </c>
      <c r="G43" s="114">
        <v>1235595471.7711499</v>
      </c>
      <c r="H43" s="114">
        <v>0</v>
      </c>
      <c r="I43" s="114">
        <v>134362697.86999997</v>
      </c>
      <c r="J43" s="114">
        <v>6033.01</v>
      </c>
      <c r="K43" s="114">
        <v>1151386028.2806721</v>
      </c>
      <c r="L43" s="114">
        <v>249856520.38000003</v>
      </c>
      <c r="M43" s="114">
        <v>901529507.90067208</v>
      </c>
      <c r="N43" s="114">
        <v>22100848.920566645</v>
      </c>
      <c r="O43" s="114">
        <v>0</v>
      </c>
      <c r="P43" s="114">
        <v>874723574.30010545</v>
      </c>
      <c r="R43" s="387">
        <v>0.21700499592921305</v>
      </c>
    </row>
    <row r="44" spans="1:20" s="4" customFormat="1" ht="13.5" customHeight="1">
      <c r="A44" s="527" t="s">
        <v>270</v>
      </c>
      <c r="B44" s="529"/>
      <c r="C44" s="529"/>
      <c r="D44" s="242">
        <v>7726</v>
      </c>
      <c r="E44" s="242">
        <v>625751931.38823533</v>
      </c>
      <c r="F44" s="243">
        <v>1634728.8957999998</v>
      </c>
      <c r="G44" s="243">
        <v>21404653.100990001</v>
      </c>
      <c r="H44" s="243">
        <v>0</v>
      </c>
      <c r="I44" s="243">
        <v>136334.07999999999</v>
      </c>
      <c r="J44" s="243">
        <v>841.70999999999981</v>
      </c>
      <c r="K44" s="243">
        <v>22903889.626790002</v>
      </c>
      <c r="L44" s="243">
        <v>4150069.6100000003</v>
      </c>
      <c r="M44" s="243">
        <v>18753820.016789999</v>
      </c>
      <c r="N44" s="243">
        <v>180917.55</v>
      </c>
      <c r="O44" s="243">
        <v>822339.77</v>
      </c>
      <c r="P44" s="243">
        <v>17750562.696789995</v>
      </c>
      <c r="R44" s="530">
        <v>0.18119497070688756</v>
      </c>
    </row>
    <row r="45" spans="1:20" s="4" customFormat="1" ht="12">
      <c r="A45" s="527"/>
      <c r="B45" s="88"/>
      <c r="C45" s="88"/>
      <c r="D45" s="3"/>
      <c r="E45" s="3"/>
      <c r="F45" s="114"/>
      <c r="G45" s="114"/>
      <c r="H45" s="114"/>
      <c r="I45" s="114"/>
      <c r="J45" s="114"/>
      <c r="K45" s="114"/>
      <c r="L45" s="114"/>
      <c r="M45" s="114"/>
      <c r="N45" s="501"/>
      <c r="O45" s="114"/>
      <c r="P45" s="114"/>
    </row>
    <row r="46" spans="1:20" s="4" customFormat="1" ht="12.75" thickBot="1">
      <c r="A46" s="527" t="s">
        <v>271</v>
      </c>
      <c r="B46" s="528"/>
      <c r="C46" s="528"/>
      <c r="D46" s="531">
        <v>1300570</v>
      </c>
      <c r="E46" s="531">
        <v>238862609404.48297</v>
      </c>
      <c r="F46" s="532">
        <v>210685064.31091088</v>
      </c>
      <c r="G46" s="532">
        <v>7305165440.4644251</v>
      </c>
      <c r="H46" s="532">
        <v>1231816.8790612149</v>
      </c>
      <c r="I46" s="532">
        <v>689709828.17999995</v>
      </c>
      <c r="J46" s="532">
        <v>112051.95</v>
      </c>
      <c r="K46" s="532">
        <v>6827484545.4243956</v>
      </c>
      <c r="L46" s="532">
        <v>1477356140.1300004</v>
      </c>
      <c r="M46" s="532">
        <v>5350128405.2943954</v>
      </c>
      <c r="N46" s="532">
        <v>32593219.742334049</v>
      </c>
      <c r="O46" s="532">
        <v>8654640.9769029748</v>
      </c>
      <c r="P46" s="532">
        <v>5304175429.2324095</v>
      </c>
    </row>
    <row r="47" spans="1:20" s="4" customFormat="1" ht="12.75" thickTop="1">
      <c r="A47" s="119"/>
      <c r="B47" s="529" t="s">
        <v>550</v>
      </c>
      <c r="C47" s="88"/>
      <c r="D47" s="543">
        <v>9.4254540035672019E-3</v>
      </c>
      <c r="E47" s="543">
        <v>3.6869955740772786E-2</v>
      </c>
      <c r="F47" s="543">
        <v>0.10503587418147631</v>
      </c>
      <c r="G47" s="543">
        <v>3.2674916590328618E-2</v>
      </c>
      <c r="H47" s="543">
        <v>-1.2429724711696899E-2</v>
      </c>
      <c r="I47" s="543">
        <v>1.1941796522618731E-2</v>
      </c>
      <c r="J47" s="543">
        <v>-0.56665166249137044</v>
      </c>
      <c r="K47" s="543">
        <v>3.688504247133384E-2</v>
      </c>
      <c r="L47" s="543">
        <v>-0.120104590594866</v>
      </c>
      <c r="M47" s="543">
        <v>9.0617067510710747E-2</v>
      </c>
      <c r="N47" s="543">
        <v>0.18888331054905727</v>
      </c>
      <c r="O47" s="543">
        <v>0.77945715955541517</v>
      </c>
      <c r="P47" s="543">
        <v>8.8411316200177392E-2</v>
      </c>
      <c r="R47" s="387">
        <v>0.2163836666785407</v>
      </c>
    </row>
    <row r="48" spans="1:20" s="4" customFormat="1" ht="12">
      <c r="A48" s="119"/>
      <c r="B48" s="88"/>
      <c r="C48" s="88"/>
      <c r="D48" s="3"/>
      <c r="E48" s="3"/>
      <c r="F48" s="114"/>
      <c r="G48" s="114"/>
      <c r="H48" s="114"/>
      <c r="I48" s="114"/>
      <c r="J48" s="114"/>
      <c r="K48" s="276" t="s">
        <v>388</v>
      </c>
      <c r="L48" s="277">
        <v>0.2163836666785407</v>
      </c>
      <c r="M48" s="114"/>
      <c r="N48" s="114"/>
      <c r="O48" s="114"/>
      <c r="P48" s="114"/>
    </row>
    <row r="49" spans="1:18" s="4" customFormat="1" ht="12">
      <c r="A49" s="119"/>
      <c r="B49" s="88"/>
      <c r="C49" s="88"/>
      <c r="D49" s="3"/>
      <c r="E49" s="3"/>
      <c r="F49" s="114"/>
      <c r="G49" s="114"/>
      <c r="H49" s="114"/>
      <c r="I49" s="114"/>
      <c r="J49" s="114"/>
      <c r="K49" s="276"/>
      <c r="L49" s="277"/>
      <c r="M49" s="114"/>
      <c r="N49" s="114"/>
      <c r="O49" s="114"/>
      <c r="P49" s="114"/>
    </row>
    <row r="50" spans="1:18" s="4" customFormat="1" ht="12">
      <c r="A50" s="119"/>
      <c r="B50" s="88"/>
      <c r="C50" s="88"/>
      <c r="D50" s="3"/>
      <c r="E50" s="3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</row>
    <row r="51" spans="1:18" s="4" customFormat="1" ht="12">
      <c r="A51" s="119"/>
      <c r="B51" s="88"/>
      <c r="C51" s="88"/>
      <c r="D51" s="3"/>
      <c r="E51" s="3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</row>
    <row r="52" spans="1:18" s="4" customFormat="1" ht="12">
      <c r="A52" s="119" t="s">
        <v>545</v>
      </c>
      <c r="B52" s="88"/>
      <c r="C52" s="88"/>
      <c r="D52" s="3"/>
      <c r="E52" s="540"/>
      <c r="F52" s="540"/>
      <c r="G52" s="540"/>
      <c r="H52" s="540"/>
      <c r="I52" s="540" t="s">
        <v>546</v>
      </c>
      <c r="J52" s="540"/>
      <c r="K52" s="540"/>
      <c r="L52" s="540"/>
      <c r="M52" s="540"/>
      <c r="N52" s="540"/>
      <c r="O52" s="540"/>
      <c r="P52" s="540"/>
      <c r="Q52" s="540"/>
      <c r="R52" s="540"/>
    </row>
    <row r="53" spans="1:18" s="4" customFormat="1" ht="12">
      <c r="A53" s="119" t="s">
        <v>547</v>
      </c>
      <c r="B53" s="88"/>
      <c r="C53" s="88"/>
      <c r="D53" s="3"/>
      <c r="E53" s="3"/>
      <c r="F53" s="114"/>
      <c r="G53" s="114"/>
      <c r="H53" s="114"/>
      <c r="I53" s="114" t="s">
        <v>548</v>
      </c>
      <c r="J53" s="114"/>
      <c r="K53" s="114"/>
      <c r="L53" s="114"/>
      <c r="M53" s="114"/>
      <c r="N53" s="114"/>
      <c r="O53" s="114"/>
      <c r="P53" s="114"/>
    </row>
    <row r="54" spans="1:18" s="4" customFormat="1" ht="14.25" customHeight="1">
      <c r="A54" s="573" t="s">
        <v>576</v>
      </c>
      <c r="B54" s="573"/>
      <c r="C54" s="573"/>
      <c r="D54" s="573"/>
      <c r="E54" s="573"/>
      <c r="F54" s="120"/>
      <c r="G54" s="114"/>
      <c r="H54" s="114"/>
      <c r="I54" s="114" t="s">
        <v>549</v>
      </c>
      <c r="J54" s="114"/>
      <c r="K54" s="114"/>
      <c r="L54" s="114"/>
      <c r="M54" s="114"/>
      <c r="N54" s="114"/>
      <c r="O54" s="114"/>
      <c r="P54" s="114"/>
    </row>
    <row r="55" spans="1:18" s="4" customFormat="1" ht="12">
      <c r="A55" s="119"/>
      <c r="B55" s="88"/>
      <c r="C55" s="88"/>
      <c r="D55" s="3"/>
      <c r="E55" s="3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</row>
    <row r="56" spans="1:18" s="4" customFormat="1" ht="12">
      <c r="A56" s="94"/>
      <c r="B56" s="93"/>
      <c r="C56" s="93"/>
      <c r="D56" s="121"/>
      <c r="E56" s="121"/>
      <c r="F56" s="122"/>
      <c r="G56" s="114"/>
      <c r="H56" s="114"/>
      <c r="I56" s="114"/>
      <c r="J56" s="114"/>
      <c r="K56" s="114"/>
      <c r="L56" s="114"/>
      <c r="M56" s="114"/>
      <c r="N56" s="114"/>
      <c r="O56" s="114"/>
      <c r="P56" s="114"/>
    </row>
    <row r="57" spans="1:18" s="4" customFormat="1" ht="12">
      <c r="A57" s="119"/>
      <c r="B57" s="88"/>
      <c r="C57" s="88"/>
      <c r="D57" s="3"/>
      <c r="E57" s="3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</row>
    <row r="58" spans="1:18" s="4" customFormat="1" ht="12">
      <c r="A58" s="119"/>
      <c r="B58" s="88"/>
      <c r="C58" s="88"/>
      <c r="D58" s="3"/>
      <c r="E58" s="3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</row>
    <row r="59" spans="1:18" s="4" customFormat="1" ht="12">
      <c r="A59" s="119"/>
      <c r="B59" s="88"/>
      <c r="C59" s="88"/>
      <c r="D59" s="3"/>
      <c r="E59" s="3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</row>
    <row r="60" spans="1:18" s="4" customFormat="1" ht="12">
      <c r="A60" s="119"/>
      <c r="B60" s="88"/>
      <c r="C60" s="88"/>
      <c r="D60" s="3"/>
      <c r="E60" s="3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</row>
    <row r="61" spans="1:18" s="4" customFormat="1" ht="12">
      <c r="A61" s="119"/>
      <c r="B61" s="88"/>
      <c r="C61" s="88"/>
      <c r="D61" s="3"/>
      <c r="E61" s="3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</row>
    <row r="62" spans="1:18" s="4" customFormat="1" ht="12">
      <c r="A62" s="89"/>
      <c r="B62" s="91"/>
      <c r="C62" s="91"/>
      <c r="D62" s="44"/>
      <c r="E62" s="44"/>
      <c r="F62" s="120"/>
      <c r="G62" s="114"/>
      <c r="H62" s="114"/>
      <c r="I62" s="114"/>
      <c r="J62" s="114"/>
      <c r="K62" s="114"/>
      <c r="L62" s="114"/>
      <c r="M62" s="114"/>
      <c r="N62" s="114"/>
      <c r="O62" s="114"/>
      <c r="P62" s="114"/>
    </row>
    <row r="63" spans="1:18" s="4" customFormat="1" ht="12">
      <c r="A63" s="119"/>
      <c r="B63" s="88"/>
      <c r="C63" s="88"/>
      <c r="D63" s="3"/>
      <c r="E63" s="3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</row>
    <row r="64" spans="1:18" s="4" customFormat="1" ht="12">
      <c r="A64" s="94"/>
      <c r="B64" s="93"/>
      <c r="C64" s="93"/>
      <c r="D64" s="121"/>
      <c r="E64" s="121"/>
      <c r="F64" s="122"/>
      <c r="G64" s="114"/>
      <c r="H64" s="114"/>
      <c r="I64" s="114"/>
      <c r="J64" s="114"/>
      <c r="K64" s="114"/>
      <c r="L64" s="114"/>
      <c r="M64" s="114"/>
      <c r="N64" s="114"/>
      <c r="O64" s="114"/>
      <c r="P64" s="114"/>
    </row>
    <row r="65" spans="1:16" s="4" customFormat="1" ht="12">
      <c r="A65" s="119"/>
      <c r="B65" s="88"/>
      <c r="C65" s="88"/>
      <c r="D65" s="3"/>
      <c r="E65" s="3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</row>
    <row r="66" spans="1:16" s="4" customFormat="1" ht="12">
      <c r="A66" s="119"/>
      <c r="B66" s="88"/>
      <c r="C66" s="88"/>
      <c r="D66" s="3"/>
      <c r="E66" s="3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</row>
    <row r="67" spans="1:16" s="4" customFormat="1" ht="12">
      <c r="A67" s="119"/>
      <c r="B67" s="88"/>
      <c r="C67" s="88"/>
      <c r="D67" s="3"/>
      <c r="E67" s="3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</row>
    <row r="68" spans="1:16" s="4" customFormat="1" ht="12">
      <c r="A68" s="119"/>
      <c r="B68" s="88"/>
      <c r="C68" s="88"/>
      <c r="D68" s="3"/>
      <c r="E68" s="3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</row>
    <row r="69" spans="1:16" s="4" customFormat="1" ht="12">
      <c r="A69" s="119"/>
      <c r="B69" s="88"/>
      <c r="C69" s="88"/>
      <c r="D69" s="3"/>
      <c r="E69" s="3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</row>
    <row r="70" spans="1:16" s="4" customFormat="1" ht="12">
      <c r="A70" s="89"/>
      <c r="B70" s="91"/>
      <c r="C70" s="91"/>
      <c r="D70" s="44"/>
      <c r="E70" s="44"/>
      <c r="F70" s="120"/>
      <c r="G70" s="114"/>
      <c r="H70" s="114"/>
      <c r="I70" s="114"/>
      <c r="J70" s="114"/>
      <c r="K70" s="114"/>
      <c r="L70" s="114"/>
      <c r="M70" s="114"/>
      <c r="N70" s="114"/>
      <c r="O70" s="114"/>
      <c r="P70" s="114"/>
    </row>
    <row r="71" spans="1:16" s="4" customFormat="1" ht="12">
      <c r="A71" s="119"/>
      <c r="B71" s="88"/>
      <c r="C71" s="88"/>
      <c r="D71" s="3"/>
      <c r="E71" s="3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</row>
    <row r="72" spans="1:16" s="4" customFormat="1" ht="12">
      <c r="A72" s="94"/>
      <c r="B72" s="93"/>
      <c r="C72" s="93"/>
      <c r="D72" s="121"/>
      <c r="E72" s="121"/>
      <c r="F72" s="122"/>
      <c r="G72" s="114"/>
      <c r="H72" s="114"/>
      <c r="I72" s="114"/>
      <c r="J72" s="114"/>
      <c r="K72" s="114"/>
      <c r="L72" s="114"/>
      <c r="M72" s="114"/>
      <c r="N72" s="114"/>
      <c r="O72" s="114"/>
      <c r="P72" s="114"/>
    </row>
    <row r="73" spans="1:16" s="4" customFormat="1" ht="12">
      <c r="A73" s="119"/>
      <c r="B73" s="88"/>
      <c r="C73" s="88"/>
      <c r="D73" s="3"/>
      <c r="E73" s="3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</row>
    <row r="74" spans="1:16" s="4" customFormat="1" ht="12">
      <c r="A74" s="119"/>
      <c r="B74" s="88"/>
      <c r="C74" s="88"/>
      <c r="D74" s="3"/>
      <c r="E74" s="3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</row>
    <row r="75" spans="1:16" s="4" customFormat="1" ht="12">
      <c r="A75" s="119"/>
      <c r="B75" s="88"/>
      <c r="C75" s="88"/>
      <c r="D75" s="3"/>
      <c r="E75" s="3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</row>
    <row r="76" spans="1:16" s="4" customFormat="1" ht="12">
      <c r="A76" s="119"/>
      <c r="B76" s="88"/>
      <c r="C76" s="88"/>
      <c r="D76" s="3"/>
      <c r="E76" s="3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</row>
    <row r="77" spans="1:16" s="4" customFormat="1" ht="12">
      <c r="A77" s="119"/>
      <c r="B77" s="88"/>
      <c r="C77" s="88"/>
      <c r="D77" s="3"/>
      <c r="E77" s="3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</row>
    <row r="78" spans="1:16" s="4" customFormat="1" ht="12">
      <c r="A78" s="119"/>
      <c r="B78" s="88"/>
      <c r="C78" s="88"/>
      <c r="D78" s="3"/>
      <c r="E78" s="3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</row>
    <row r="79" spans="1:16" s="4" customFormat="1" ht="12">
      <c r="A79" s="89"/>
      <c r="B79" s="90"/>
      <c r="C79" s="90"/>
      <c r="D79" s="45"/>
      <c r="E79" s="45"/>
      <c r="F79" s="123"/>
      <c r="G79" s="114"/>
      <c r="H79" s="114"/>
      <c r="I79" s="114"/>
      <c r="J79" s="114"/>
      <c r="K79" s="114"/>
      <c r="L79" s="114"/>
      <c r="M79" s="114"/>
      <c r="N79" s="114"/>
      <c r="O79" s="114"/>
      <c r="P79" s="114"/>
    </row>
    <row r="80" spans="1:16" s="4" customFormat="1" ht="12">
      <c r="A80" s="119"/>
      <c r="B80" s="88"/>
      <c r="C80" s="88"/>
      <c r="D80" s="3"/>
      <c r="E80" s="3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</row>
    <row r="81" spans="1:16" s="4" customFormat="1" ht="12">
      <c r="A81" s="119"/>
      <c r="B81" s="88"/>
      <c r="C81" s="88"/>
      <c r="D81" s="3"/>
      <c r="E81" s="3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</row>
    <row r="82" spans="1:16" s="4" customFormat="1" ht="12">
      <c r="A82" s="94"/>
      <c r="B82" s="46"/>
      <c r="C82" s="46"/>
      <c r="D82" s="44"/>
      <c r="E82" s="44"/>
      <c r="F82" s="120"/>
      <c r="G82" s="114"/>
      <c r="H82" s="114"/>
      <c r="I82" s="114"/>
      <c r="J82" s="114"/>
      <c r="K82" s="114"/>
      <c r="L82" s="114"/>
      <c r="M82" s="114"/>
      <c r="N82" s="114"/>
      <c r="O82" s="114"/>
      <c r="P82" s="114"/>
    </row>
    <row r="83" spans="1:16" s="4" customFormat="1" ht="12">
      <c r="A83" s="94"/>
      <c r="B83" s="88"/>
      <c r="C83" s="88"/>
      <c r="D83" s="3"/>
      <c r="E83" s="3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</row>
    <row r="84" spans="1:16" s="4" customFormat="1" ht="12">
      <c r="A84" s="94"/>
      <c r="B84" s="93"/>
      <c r="C84" s="93"/>
      <c r="D84" s="121"/>
      <c r="E84" s="121"/>
      <c r="F84" s="122"/>
      <c r="G84" s="114"/>
      <c r="H84" s="114"/>
      <c r="I84" s="114"/>
      <c r="J84" s="114"/>
      <c r="K84" s="114"/>
      <c r="L84" s="114"/>
      <c r="M84" s="114"/>
      <c r="N84" s="114"/>
      <c r="O84" s="114"/>
      <c r="P84" s="114"/>
    </row>
    <row r="85" spans="1:16" s="4" customFormat="1" ht="12">
      <c r="A85" s="119"/>
      <c r="B85" s="88"/>
      <c r="C85" s="88"/>
      <c r="D85" s="3"/>
      <c r="E85" s="3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</row>
    <row r="86" spans="1:16" s="4" customFormat="1" ht="12">
      <c r="A86" s="119"/>
      <c r="B86" s="88"/>
      <c r="C86" s="88"/>
      <c r="D86" s="3"/>
      <c r="E86" s="3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</row>
    <row r="87" spans="1:16" s="4" customFormat="1" ht="12">
      <c r="A87" s="119"/>
      <c r="B87" s="88"/>
      <c r="C87" s="88"/>
      <c r="D87" s="3"/>
      <c r="E87" s="3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</row>
    <row r="88" spans="1:16" s="4" customFormat="1" ht="12">
      <c r="A88" s="119"/>
      <c r="B88" s="88"/>
      <c r="C88" s="88"/>
      <c r="D88" s="3"/>
      <c r="E88" s="3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</row>
    <row r="89" spans="1:16" s="4" customFormat="1" ht="12">
      <c r="A89" s="119"/>
      <c r="B89" s="88"/>
      <c r="C89" s="88"/>
      <c r="D89" s="3"/>
      <c r="E89" s="3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</row>
    <row r="90" spans="1:16" s="4" customFormat="1" ht="12">
      <c r="A90" s="119"/>
      <c r="B90" s="88"/>
      <c r="C90" s="88"/>
      <c r="D90" s="3"/>
      <c r="E90" s="3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</row>
    <row r="91" spans="1:16" s="4" customFormat="1" ht="12">
      <c r="A91" s="94"/>
      <c r="B91" s="91"/>
      <c r="C91" s="91"/>
      <c r="D91" s="44"/>
      <c r="E91" s="44"/>
      <c r="F91" s="120"/>
      <c r="G91" s="114"/>
      <c r="H91" s="114"/>
      <c r="I91" s="114"/>
      <c r="J91" s="114"/>
      <c r="K91" s="114"/>
      <c r="L91" s="114"/>
      <c r="M91" s="114"/>
      <c r="N91" s="114"/>
      <c r="O91" s="114"/>
      <c r="P91" s="114"/>
    </row>
    <row r="92" spans="1:16" s="4" customFormat="1" ht="12">
      <c r="A92" s="119"/>
      <c r="B92" s="88"/>
      <c r="C92" s="88"/>
      <c r="D92" s="3"/>
      <c r="E92" s="3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</row>
    <row r="93" spans="1:16" s="4" customFormat="1" ht="12">
      <c r="A93" s="94"/>
      <c r="B93" s="93"/>
      <c r="C93" s="93"/>
      <c r="D93" s="121"/>
      <c r="E93" s="121"/>
      <c r="F93" s="122"/>
      <c r="G93" s="114"/>
      <c r="H93" s="114"/>
      <c r="I93" s="114"/>
      <c r="J93" s="114"/>
      <c r="K93" s="114"/>
      <c r="L93" s="114"/>
      <c r="M93" s="114"/>
      <c r="N93" s="114"/>
      <c r="O93" s="114"/>
      <c r="P93" s="114"/>
    </row>
    <row r="94" spans="1:16" s="4" customFormat="1" ht="12">
      <c r="A94" s="119"/>
      <c r="B94" s="88"/>
      <c r="C94" s="88"/>
      <c r="D94" s="3"/>
      <c r="E94" s="3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</row>
    <row r="95" spans="1:16" s="4" customFormat="1" ht="12">
      <c r="A95" s="119"/>
      <c r="B95" s="88"/>
      <c r="C95" s="88"/>
      <c r="D95" s="3"/>
      <c r="E95" s="3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</row>
    <row r="96" spans="1:16" s="4" customFormat="1" ht="12">
      <c r="A96" s="119"/>
      <c r="B96" s="88"/>
      <c r="C96" s="88"/>
      <c r="D96" s="3"/>
      <c r="E96" s="3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</row>
    <row r="97" spans="1:16" s="4" customFormat="1" ht="12">
      <c r="A97" s="119"/>
      <c r="B97" s="88"/>
      <c r="C97" s="88"/>
      <c r="D97" s="3"/>
      <c r="E97" s="3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</row>
    <row r="98" spans="1:16" s="4" customFormat="1" ht="12">
      <c r="A98" s="119"/>
      <c r="B98" s="88"/>
      <c r="C98" s="88"/>
      <c r="D98" s="3"/>
      <c r="E98" s="3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</row>
    <row r="99" spans="1:16" s="4" customFormat="1" ht="12">
      <c r="A99" s="89"/>
      <c r="B99" s="91"/>
      <c r="C99" s="91"/>
      <c r="D99" s="44"/>
      <c r="E99" s="44"/>
      <c r="F99" s="120"/>
      <c r="G99" s="114"/>
      <c r="H99" s="114"/>
      <c r="I99" s="114"/>
      <c r="J99" s="114"/>
      <c r="K99" s="114"/>
      <c r="L99" s="114"/>
      <c r="M99" s="114"/>
      <c r="N99" s="114"/>
      <c r="O99" s="114"/>
      <c r="P99" s="114"/>
    </row>
    <row r="100" spans="1:16" s="4" customFormat="1" ht="12">
      <c r="A100" s="119"/>
      <c r="B100" s="88"/>
      <c r="C100" s="88"/>
      <c r="D100" s="3"/>
      <c r="E100" s="3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</row>
    <row r="101" spans="1:16" s="4" customFormat="1" ht="12">
      <c r="A101" s="94"/>
      <c r="B101" s="93"/>
      <c r="C101" s="93"/>
      <c r="D101" s="121"/>
      <c r="E101" s="121"/>
      <c r="F101" s="122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</row>
    <row r="102" spans="1:16" s="4" customFormat="1" ht="12">
      <c r="A102" s="119"/>
      <c r="B102" s="88"/>
      <c r="C102" s="88"/>
      <c r="D102" s="3"/>
      <c r="E102" s="3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</row>
    <row r="103" spans="1:16" s="4" customFormat="1" ht="12">
      <c r="A103" s="119"/>
      <c r="B103" s="88"/>
      <c r="C103" s="88"/>
      <c r="D103" s="3"/>
      <c r="E103" s="3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</row>
    <row r="104" spans="1:16" s="4" customFormat="1" ht="12">
      <c r="A104" s="119"/>
      <c r="B104" s="88"/>
      <c r="C104" s="88"/>
      <c r="D104" s="3"/>
      <c r="E104" s="3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</row>
    <row r="105" spans="1:16" s="4" customFormat="1" ht="12">
      <c r="A105" s="119"/>
      <c r="B105" s="88"/>
      <c r="C105" s="88"/>
      <c r="D105" s="3"/>
      <c r="E105" s="3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</row>
    <row r="106" spans="1:16" s="4" customFormat="1" ht="12">
      <c r="A106" s="119"/>
      <c r="B106" s="88"/>
      <c r="C106" s="88"/>
      <c r="D106" s="3"/>
      <c r="E106" s="3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</row>
    <row r="107" spans="1:16" s="4" customFormat="1" ht="12">
      <c r="A107" s="89"/>
      <c r="B107" s="91"/>
      <c r="C107" s="91"/>
      <c r="D107" s="44"/>
      <c r="E107" s="44"/>
      <c r="F107" s="120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</row>
    <row r="108" spans="1:16" s="4" customFormat="1" ht="12">
      <c r="A108" s="119"/>
      <c r="B108" s="88"/>
      <c r="C108" s="88"/>
      <c r="D108" s="3"/>
      <c r="E108" s="3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</row>
    <row r="109" spans="1:16" s="4" customFormat="1" ht="12">
      <c r="A109" s="94"/>
      <c r="B109" s="93"/>
      <c r="C109" s="93"/>
      <c r="D109" s="121"/>
      <c r="E109" s="121"/>
      <c r="F109" s="122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</row>
    <row r="110" spans="1:16" s="4" customFormat="1" ht="12">
      <c r="A110" s="119"/>
      <c r="B110" s="88"/>
      <c r="C110" s="88"/>
      <c r="D110" s="3"/>
      <c r="E110" s="3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</row>
    <row r="111" spans="1:16" s="4" customFormat="1" ht="12">
      <c r="A111" s="119"/>
      <c r="B111" s="88"/>
      <c r="C111" s="88"/>
      <c r="D111" s="3"/>
      <c r="E111" s="3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</row>
    <row r="112" spans="1:16" s="4" customFormat="1" ht="12">
      <c r="A112" s="119"/>
      <c r="B112" s="88"/>
      <c r="C112" s="88"/>
      <c r="D112" s="3"/>
      <c r="E112" s="3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</row>
    <row r="113" spans="1:16" s="4" customFormat="1" ht="12">
      <c r="A113" s="119"/>
      <c r="B113" s="88"/>
      <c r="C113" s="88"/>
      <c r="D113" s="3"/>
      <c r="E113" s="3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</row>
    <row r="114" spans="1:16" s="4" customFormat="1" ht="12">
      <c r="A114" s="119"/>
      <c r="B114" s="88"/>
      <c r="C114" s="88"/>
      <c r="D114" s="3"/>
      <c r="E114" s="3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</row>
    <row r="115" spans="1:16" s="4" customFormat="1" ht="12">
      <c r="A115" s="89"/>
      <c r="B115" s="91"/>
      <c r="C115" s="91"/>
      <c r="D115" s="44"/>
      <c r="E115" s="44"/>
      <c r="F115" s="120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</row>
    <row r="116" spans="1:16" s="4" customFormat="1" ht="12">
      <c r="A116" s="119"/>
      <c r="B116" s="88"/>
      <c r="C116" s="88"/>
      <c r="D116" s="3"/>
      <c r="E116" s="3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</row>
    <row r="117" spans="1:16" s="4" customFormat="1" ht="12">
      <c r="A117" s="94"/>
      <c r="B117" s="93"/>
      <c r="C117" s="93"/>
      <c r="D117" s="121"/>
      <c r="E117" s="121"/>
      <c r="F117" s="122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</row>
    <row r="118" spans="1:16" s="4" customFormat="1" ht="12">
      <c r="A118" s="119"/>
      <c r="B118" s="88"/>
      <c r="C118" s="88"/>
      <c r="D118" s="3"/>
      <c r="E118" s="3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</row>
    <row r="119" spans="1:16" s="4" customFormat="1" ht="12">
      <c r="A119" s="119"/>
      <c r="B119" s="88"/>
      <c r="C119" s="88"/>
      <c r="D119" s="3"/>
      <c r="E119" s="3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</row>
    <row r="120" spans="1:16" s="4" customFormat="1" ht="12">
      <c r="A120" s="119"/>
      <c r="B120" s="88"/>
      <c r="C120" s="88"/>
      <c r="D120" s="3"/>
      <c r="E120" s="3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</row>
    <row r="121" spans="1:16" s="4" customFormat="1" ht="12">
      <c r="A121" s="119"/>
      <c r="B121" s="88"/>
      <c r="C121" s="88"/>
      <c r="D121" s="3"/>
      <c r="E121" s="3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</row>
    <row r="122" spans="1:16" s="4" customFormat="1" ht="12">
      <c r="A122" s="119"/>
      <c r="B122" s="88"/>
      <c r="C122" s="88"/>
      <c r="D122" s="3"/>
      <c r="E122" s="3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</row>
    <row r="123" spans="1:16" s="4" customFormat="1" ht="12">
      <c r="A123" s="119"/>
      <c r="B123" s="88"/>
      <c r="C123" s="88"/>
      <c r="D123" s="3"/>
      <c r="E123" s="3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</row>
    <row r="124" spans="1:16" s="4" customFormat="1" ht="12">
      <c r="A124" s="89"/>
      <c r="B124" s="90"/>
      <c r="C124" s="90"/>
      <c r="D124" s="45"/>
      <c r="E124" s="45"/>
      <c r="F124" s="123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</row>
    <row r="125" spans="1:16" s="4" customFormat="1" ht="12">
      <c r="A125" s="119"/>
      <c r="B125" s="88"/>
      <c r="C125" s="88"/>
      <c r="D125" s="3"/>
      <c r="E125" s="3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</row>
    <row r="126" spans="1:16" s="4" customFormat="1" ht="12">
      <c r="A126" s="119"/>
      <c r="B126" s="88"/>
      <c r="C126" s="88"/>
      <c r="D126" s="3"/>
      <c r="E126" s="3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</row>
    <row r="127" spans="1:16" s="4" customFormat="1" ht="12">
      <c r="A127" s="94"/>
      <c r="B127" s="46"/>
      <c r="C127" s="46"/>
      <c r="D127" s="44"/>
      <c r="E127" s="44"/>
      <c r="F127" s="120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</row>
    <row r="128" spans="1:16" s="4" customFormat="1" ht="12">
      <c r="A128" s="94"/>
      <c r="B128" s="88"/>
      <c r="C128" s="88"/>
      <c r="D128" s="3"/>
      <c r="E128" s="3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</row>
    <row r="129" spans="1:16" s="4" customFormat="1" ht="12">
      <c r="A129" s="94"/>
      <c r="B129" s="93"/>
      <c r="C129" s="93"/>
      <c r="D129" s="121"/>
      <c r="E129" s="121"/>
      <c r="F129" s="122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</row>
    <row r="130" spans="1:16" s="4" customFormat="1" ht="12">
      <c r="A130" s="119"/>
      <c r="B130" s="88"/>
      <c r="C130" s="88"/>
      <c r="D130" s="3"/>
      <c r="E130" s="3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</row>
    <row r="131" spans="1:16" s="4" customFormat="1" ht="12">
      <c r="A131" s="119"/>
      <c r="B131" s="88"/>
      <c r="C131" s="88"/>
      <c r="D131" s="3"/>
      <c r="E131" s="3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</row>
    <row r="132" spans="1:16" s="4" customFormat="1" ht="12">
      <c r="A132" s="119"/>
      <c r="B132" s="88"/>
      <c r="C132" s="88"/>
      <c r="D132" s="3"/>
      <c r="E132" s="3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</row>
    <row r="133" spans="1:16" s="4" customFormat="1" ht="12">
      <c r="A133" s="119"/>
      <c r="B133" s="88"/>
      <c r="C133" s="88"/>
      <c r="D133" s="3"/>
      <c r="E133" s="3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</row>
    <row r="134" spans="1:16" s="4" customFormat="1" ht="12">
      <c r="A134" s="119"/>
      <c r="B134" s="88"/>
      <c r="C134" s="88"/>
      <c r="D134" s="3"/>
      <c r="E134" s="3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</row>
    <row r="135" spans="1:16" s="4" customFormat="1" ht="12">
      <c r="A135" s="119"/>
      <c r="B135" s="88"/>
      <c r="C135" s="88"/>
      <c r="D135" s="3"/>
      <c r="E135" s="3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</row>
    <row r="136" spans="1:16" s="4" customFormat="1" ht="12">
      <c r="A136" s="94"/>
      <c r="B136" s="91"/>
      <c r="C136" s="91"/>
      <c r="D136" s="44"/>
      <c r="E136" s="44"/>
      <c r="F136" s="120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</row>
    <row r="137" spans="1:16" s="4" customFormat="1" ht="12">
      <c r="A137" s="119"/>
      <c r="B137" s="88"/>
      <c r="C137" s="88"/>
      <c r="D137" s="3"/>
      <c r="E137" s="3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</row>
    <row r="138" spans="1:16" s="4" customFormat="1" ht="12">
      <c r="A138" s="94"/>
      <c r="B138" s="93"/>
      <c r="C138" s="93"/>
      <c r="D138" s="121"/>
      <c r="E138" s="121"/>
      <c r="F138" s="122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</row>
    <row r="139" spans="1:16" s="4" customFormat="1" ht="12">
      <c r="A139" s="119"/>
      <c r="B139" s="88"/>
      <c r="C139" s="88"/>
      <c r="D139" s="3"/>
      <c r="E139" s="3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</row>
    <row r="140" spans="1:16" s="4" customFormat="1" ht="12">
      <c r="A140" s="119"/>
      <c r="B140" s="88"/>
      <c r="C140" s="88"/>
      <c r="D140" s="3"/>
      <c r="E140" s="3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</row>
    <row r="141" spans="1:16" s="4" customFormat="1" ht="12">
      <c r="A141" s="119"/>
      <c r="B141" s="88"/>
      <c r="C141" s="88"/>
      <c r="D141" s="3"/>
      <c r="E141" s="3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</row>
    <row r="142" spans="1:16" s="4" customFormat="1" ht="12">
      <c r="A142" s="119"/>
      <c r="B142" s="88"/>
      <c r="C142" s="88"/>
      <c r="D142" s="3"/>
      <c r="E142" s="3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</row>
    <row r="143" spans="1:16" s="4" customFormat="1" ht="12">
      <c r="A143" s="119"/>
      <c r="B143" s="88"/>
      <c r="C143" s="88"/>
      <c r="D143" s="3"/>
      <c r="E143" s="3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</row>
    <row r="144" spans="1:16" s="4" customFormat="1" ht="12">
      <c r="A144" s="89"/>
      <c r="B144" s="91"/>
      <c r="C144" s="91"/>
      <c r="D144" s="44"/>
      <c r="E144" s="44"/>
      <c r="F144" s="120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</row>
    <row r="145" spans="1:16" s="4" customFormat="1" ht="12">
      <c r="A145" s="119"/>
      <c r="B145" s="88"/>
      <c r="C145" s="88"/>
      <c r="D145" s="3"/>
      <c r="E145" s="3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</row>
    <row r="146" spans="1:16" s="4" customFormat="1" ht="12">
      <c r="A146" s="94"/>
      <c r="B146" s="93"/>
      <c r="C146" s="93"/>
      <c r="D146" s="121"/>
      <c r="E146" s="121"/>
      <c r="F146" s="122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</row>
    <row r="147" spans="1:16" s="4" customFormat="1" ht="12">
      <c r="A147" s="119"/>
      <c r="B147" s="88"/>
      <c r="C147" s="88"/>
      <c r="D147" s="3"/>
      <c r="E147" s="3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</row>
    <row r="148" spans="1:16" s="4" customFormat="1" ht="12">
      <c r="A148" s="119"/>
      <c r="B148" s="88"/>
      <c r="C148" s="88"/>
      <c r="D148" s="3"/>
      <c r="E148" s="3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</row>
    <row r="149" spans="1:16" s="4" customFormat="1" ht="12">
      <c r="A149" s="119"/>
      <c r="B149" s="88"/>
      <c r="C149" s="88"/>
      <c r="D149" s="3"/>
      <c r="E149" s="3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</row>
    <row r="150" spans="1:16" s="4" customFormat="1" ht="12">
      <c r="A150" s="119"/>
      <c r="B150" s="88"/>
      <c r="C150" s="88"/>
      <c r="D150" s="3"/>
      <c r="E150" s="3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</row>
    <row r="151" spans="1:16" s="4" customFormat="1" ht="12">
      <c r="A151" s="119"/>
      <c r="B151" s="88"/>
      <c r="C151" s="88"/>
      <c r="D151" s="3"/>
      <c r="E151" s="3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</row>
    <row r="152" spans="1:16" s="4" customFormat="1" ht="12">
      <c r="A152" s="89"/>
      <c r="B152" s="91"/>
      <c r="C152" s="91"/>
      <c r="D152" s="44"/>
      <c r="E152" s="44"/>
      <c r="F152" s="120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</row>
    <row r="153" spans="1:16" s="4" customFormat="1" ht="12">
      <c r="A153" s="119"/>
      <c r="B153" s="88"/>
      <c r="C153" s="88"/>
      <c r="D153" s="3"/>
      <c r="E153" s="3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</row>
    <row r="154" spans="1:16" s="4" customFormat="1" ht="12">
      <c r="A154" s="94"/>
      <c r="B154" s="93"/>
      <c r="C154" s="93"/>
      <c r="D154" s="121"/>
      <c r="E154" s="121"/>
      <c r="F154" s="122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</row>
    <row r="155" spans="1:16" s="4" customFormat="1" ht="12">
      <c r="A155" s="119"/>
      <c r="B155" s="88"/>
      <c r="C155" s="88"/>
      <c r="D155" s="3"/>
      <c r="E155" s="3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</row>
    <row r="156" spans="1:16" s="4" customFormat="1" ht="12">
      <c r="A156" s="119"/>
      <c r="B156" s="88"/>
      <c r="C156" s="88"/>
      <c r="D156" s="3"/>
      <c r="E156" s="3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</row>
    <row r="157" spans="1:16" s="4" customFormat="1" ht="12">
      <c r="A157" s="119"/>
      <c r="B157" s="88"/>
      <c r="C157" s="88"/>
      <c r="D157" s="3"/>
      <c r="E157" s="3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</row>
    <row r="158" spans="1:16" s="4" customFormat="1" ht="12">
      <c r="A158" s="119"/>
      <c r="B158" s="88"/>
      <c r="C158" s="88"/>
      <c r="D158" s="3"/>
      <c r="E158" s="3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</row>
    <row r="159" spans="1:16" s="4" customFormat="1" ht="12">
      <c r="A159" s="119"/>
      <c r="B159" s="88"/>
      <c r="C159" s="88"/>
      <c r="D159" s="3"/>
      <c r="E159" s="3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</row>
    <row r="160" spans="1:16" s="4" customFormat="1" ht="12">
      <c r="A160" s="89"/>
      <c r="B160" s="91"/>
      <c r="C160" s="91"/>
      <c r="D160" s="44"/>
      <c r="E160" s="44"/>
      <c r="F160" s="120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</row>
    <row r="161" spans="1:16" s="4" customFormat="1" ht="12">
      <c r="A161" s="119"/>
      <c r="B161" s="88"/>
      <c r="C161" s="88"/>
      <c r="D161" s="3"/>
      <c r="E161" s="3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</row>
    <row r="162" spans="1:16" s="4" customFormat="1" ht="12">
      <c r="A162" s="94"/>
      <c r="B162" s="93"/>
      <c r="C162" s="93"/>
      <c r="D162" s="121"/>
      <c r="E162" s="121"/>
      <c r="F162" s="122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</row>
    <row r="163" spans="1:16" s="4" customFormat="1" ht="12">
      <c r="A163" s="119"/>
      <c r="B163" s="88"/>
      <c r="C163" s="88"/>
      <c r="D163" s="3"/>
      <c r="E163" s="3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16" s="4" customFormat="1" ht="12">
      <c r="A164" s="119"/>
      <c r="B164" s="88"/>
      <c r="C164" s="88"/>
      <c r="D164" s="3"/>
      <c r="E164" s="3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</row>
    <row r="165" spans="1:16" s="4" customFormat="1" ht="12">
      <c r="A165" s="119"/>
      <c r="B165" s="88"/>
      <c r="C165" s="88"/>
      <c r="D165" s="3"/>
      <c r="E165" s="3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</row>
    <row r="166" spans="1:16" s="4" customFormat="1" ht="12">
      <c r="A166" s="119"/>
      <c r="B166" s="88"/>
      <c r="C166" s="88"/>
      <c r="D166" s="3"/>
      <c r="E166" s="3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</row>
    <row r="167" spans="1:16" s="4" customFormat="1" ht="12">
      <c r="A167" s="119"/>
      <c r="B167" s="88"/>
      <c r="C167" s="88"/>
      <c r="D167" s="3"/>
      <c r="E167" s="3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</row>
    <row r="168" spans="1:16" s="4" customFormat="1" ht="12">
      <c r="A168" s="119"/>
      <c r="B168" s="88"/>
      <c r="C168" s="88"/>
      <c r="D168" s="3"/>
      <c r="E168" s="3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</row>
    <row r="169" spans="1:16" s="4" customFormat="1" ht="12">
      <c r="A169" s="89"/>
      <c r="B169" s="90"/>
      <c r="C169" s="90"/>
      <c r="D169" s="45"/>
      <c r="E169" s="45"/>
      <c r="F169" s="123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</row>
    <row r="170" spans="1:16" s="4" customFormat="1" ht="12">
      <c r="A170" s="119"/>
      <c r="B170" s="88"/>
      <c r="C170" s="88"/>
      <c r="D170" s="3"/>
      <c r="E170" s="3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</row>
  </sheetData>
  <customSheetViews>
    <customSheetView guid="{AE6F0488-1842-4C89-B05F-A836B633FB8F}" scale="75" showPageBreaks="1" showRuler="0" topLeftCell="H1">
      <selection activeCell="O1" sqref="O1:O65536"/>
      <pageMargins left="0.17" right="0.17" top="1" bottom="1" header="0.5" footer="0.5"/>
      <pageSetup paperSize="5" scale="70" orientation="landscape" r:id="rId1"/>
      <headerFooter alignWithMargins="0">
        <oddHeader>&amp;C&amp;"Arial,Bold"2007-08 PROPERTY TAX ABATEMENT REPORT
STATEWIDE TOTALS
(March 2007)</oddHeader>
        <oddFooter>&amp;L&amp;6&amp;A&amp;R&amp;6&amp;D&amp;T</oddFooter>
      </headerFooter>
    </customSheetView>
    <customSheetView guid="{7CE6F7F4-8D8F-4334-ACEE-5BD88E482B05}" scale="75" showPageBreaks="1" showRuler="0">
      <selection activeCell="C38" sqref="C38"/>
      <pageMargins left="0.17" right="0.17" top="1" bottom="1" header="0.5" footer="0.5"/>
      <pageSetup paperSize="5" scale="70" orientation="landscape" r:id="rId2"/>
      <headerFooter alignWithMargins="0">
        <oddHeader>&amp;C&amp;"Arial,Bold"2007-08 PROPERTY TAX ABATEMENT REPORT
STATEWIDE TOTALS
(March 2007)</oddHeader>
        <oddFooter>&amp;L&amp;6&amp;A&amp;R&amp;6&amp;D&amp;T</oddFooter>
      </headerFooter>
    </customSheetView>
    <customSheetView guid="{FA63795C-EC4C-4AAB-B1D6-AA5370DAC04D}" scale="75" showRuler="0">
      <selection activeCell="C38" sqref="C38"/>
      <pageMargins left="0.17" right="0.17" top="1" bottom="1" header="0.5" footer="0.5"/>
      <pageSetup paperSize="5" scale="70" orientation="landscape" r:id="rId3"/>
      <headerFooter alignWithMargins="0">
        <oddHeader>&amp;C&amp;"Arial,Bold"2007-08 PROPERTY TAX ABATEMENT REPORT
STATEWIDE TOTALS
(March 2007)</oddHeader>
        <oddFooter>&amp;L&amp;6&amp;A&amp;R&amp;6&amp;D&amp;T</oddFooter>
      </headerFooter>
    </customSheetView>
  </customSheetViews>
  <mergeCells count="1">
    <mergeCell ref="A54:E54"/>
  </mergeCells>
  <phoneticPr fontId="5" type="noConversion"/>
  <pageMargins left="0.75" right="0.75" top="1" bottom="1" header="0.5" footer="0.5"/>
  <pageSetup paperSize="5" scale="58" firstPageNumber="78" fitToHeight="0" orientation="landscape" useFirstPageNumber="1" r:id="rId4"/>
  <headerFooter alignWithMargins="0">
    <oddHeader xml:space="preserve">&amp;CFY 2026-27 Property Tax Abatement Report
Statewide Summary
(March 2026) 
</oddHeader>
    <oddFooter>&amp;LStatewode Summary&amp;C&amp;P&amp;R&amp;D&amp;T</oddFooter>
  </headerFooter>
  <legacy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indexed="21"/>
    <pageSetUpPr fitToPage="1"/>
  </sheetPr>
  <dimension ref="A1:R160"/>
  <sheetViews>
    <sheetView view="pageLayout" topLeftCell="A3" zoomScaleNormal="91" zoomScaleSheetLayoutView="55" workbookViewId="0">
      <selection activeCell="A14" sqref="A14"/>
    </sheetView>
  </sheetViews>
  <sheetFormatPr defaultColWidth="9.140625" defaultRowHeight="11.25"/>
  <cols>
    <col min="1" max="1" width="18.28515625" style="124" customWidth="1"/>
    <col min="2" max="2" width="11.5703125" style="125" customWidth="1"/>
    <col min="3" max="3" width="9.42578125" style="125" customWidth="1"/>
    <col min="4" max="4" width="10.85546875" style="126" customWidth="1"/>
    <col min="5" max="5" width="17.7109375" style="126" customWidth="1"/>
    <col min="6" max="6" width="16.5703125" style="112" customWidth="1"/>
    <col min="7" max="7" width="18.140625" style="112" customWidth="1"/>
    <col min="8" max="8" width="14.85546875" style="112" customWidth="1"/>
    <col min="9" max="9" width="17.85546875" style="112" bestFit="1" customWidth="1"/>
    <col min="10" max="10" width="14.85546875" style="112" customWidth="1"/>
    <col min="11" max="11" width="18.85546875" style="112" customWidth="1"/>
    <col min="12" max="12" width="17.5703125" style="112" customWidth="1"/>
    <col min="13" max="13" width="19.140625" style="112" bestFit="1" customWidth="1"/>
    <col min="14" max="14" width="14.85546875" style="112" customWidth="1"/>
    <col min="15" max="15" width="16.140625" style="112" customWidth="1"/>
    <col min="16" max="16" width="21" style="112" customWidth="1"/>
    <col min="17" max="16384" width="9.140625" style="113"/>
  </cols>
  <sheetData>
    <row r="1" spans="1:18" s="4" customFormat="1" ht="15.75" customHeight="1">
      <c r="A1" s="106"/>
      <c r="B1" s="5">
        <v>-1</v>
      </c>
      <c r="C1" s="5">
        <v>-2</v>
      </c>
      <c r="D1" s="5">
        <v>-3</v>
      </c>
      <c r="E1" s="5">
        <v>-4</v>
      </c>
      <c r="F1" s="5">
        <v>-5</v>
      </c>
      <c r="G1" s="5">
        <v>-6</v>
      </c>
      <c r="H1" s="5">
        <v>-7</v>
      </c>
      <c r="I1" s="5">
        <v>-8</v>
      </c>
      <c r="J1" s="5">
        <v>-9</v>
      </c>
      <c r="K1" s="5">
        <v>-10</v>
      </c>
      <c r="L1" s="5">
        <v>-11</v>
      </c>
      <c r="M1" s="5">
        <v>-12</v>
      </c>
      <c r="N1" s="5">
        <v>-13</v>
      </c>
      <c r="O1" s="164">
        <v>-14</v>
      </c>
      <c r="P1" s="5">
        <v>-15</v>
      </c>
      <c r="Q1" s="5"/>
      <c r="R1" s="5"/>
    </row>
    <row r="2" spans="1:18" s="9" customFormat="1" ht="96.75" customHeight="1" thickBot="1">
      <c r="A2" s="6" t="s">
        <v>1</v>
      </c>
      <c r="B2" s="7" t="str">
        <f>'Carson City'!B3</f>
        <v xml:space="preserve">PROPOSED FY 27 TAX RATE   </v>
      </c>
      <c r="C2" s="7" t="str">
        <f>'Carson City'!C3</f>
        <v xml:space="preserve">FY 27 EXEMPT RATE          </v>
      </c>
      <c r="D2" s="8" t="s">
        <v>2</v>
      </c>
      <c r="E2" s="8" t="s">
        <v>191</v>
      </c>
      <c r="F2" s="107" t="s">
        <v>3</v>
      </c>
      <c r="G2" s="107" t="s">
        <v>4</v>
      </c>
      <c r="H2" s="107" t="s">
        <v>5</v>
      </c>
      <c r="I2" s="107" t="s">
        <v>6</v>
      </c>
      <c r="J2" s="107" t="s">
        <v>7</v>
      </c>
      <c r="K2" s="107" t="s">
        <v>353</v>
      </c>
      <c r="L2" s="107" t="s">
        <v>8</v>
      </c>
      <c r="M2" s="107" t="s">
        <v>354</v>
      </c>
      <c r="N2" s="107" t="s">
        <v>9</v>
      </c>
      <c r="O2" s="8" t="s">
        <v>397</v>
      </c>
      <c r="P2" s="8" t="s">
        <v>418</v>
      </c>
    </row>
    <row r="3" spans="1:18">
      <c r="A3" s="108"/>
      <c r="B3" s="109"/>
      <c r="C3" s="109"/>
      <c r="D3" s="110"/>
      <c r="E3" s="110"/>
      <c r="F3" s="111"/>
    </row>
    <row r="4" spans="1:18" s="4" customFormat="1" ht="12">
      <c r="A4" s="119"/>
      <c r="B4" s="88"/>
      <c r="C4" s="88"/>
      <c r="D4" s="3"/>
      <c r="E4" s="3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8" s="4" customFormat="1" ht="12">
      <c r="A5" s="189" t="s">
        <v>272</v>
      </c>
      <c r="B5" s="88"/>
      <c r="C5" s="88"/>
      <c r="D5" s="3"/>
      <c r="E5" s="3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8" s="4" customFormat="1" ht="12">
      <c r="B6" s="88"/>
      <c r="C6" s="88"/>
      <c r="D6" s="3"/>
      <c r="E6" s="3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8" s="4" customFormat="1" ht="12.75">
      <c r="A7" s="50" t="s">
        <v>15</v>
      </c>
      <c r="B7" s="90"/>
      <c r="C7" s="90"/>
      <c r="D7" s="45"/>
      <c r="E7" s="45">
        <f>'Carson City'!F20+'Churchill '!F19+Clark!F59+Douglas!F42+Elko!F25+Esmeralda!F16+Eureka!F21+Humboldt!F27+Lander!F20+Lincoln!F27+'Lyon '!F30+Mineral!F17+'Nye '!F30+Pershing!F19+Storey!F17+Washoe!F31+'White Pine'!F17</f>
        <v>223536616123</v>
      </c>
      <c r="F7" s="45">
        <f>'Carson City'!G20+'Churchill '!G19+Clark!G59+Douglas!G42+Elko!G25+Esmeralda!G16+Eureka!G21+Humboldt!G27+Lander!G20+Lincoln!G27+'Lyon '!G30+Mineral!G17+'Nye '!G30+Pershing!G19+Storey!G17+Washoe!G31+'White Pine'!G17</f>
        <v>2014883.7599999998</v>
      </c>
      <c r="G7" s="45">
        <f>'Carson City'!H20+'Churchill '!H19+Clark!H59+Douglas!H42+Elko!H25+Esmeralda!H16+Eureka!H21+Humboldt!H27+Lander!H20+Lincoln!H27+'Lyon '!H30+Mineral!H17+'Nye '!H30+Pershing!H19+Storey!H17+Washoe!H31+'White Pine'!H17</f>
        <v>365710075.48000008</v>
      </c>
      <c r="H7" s="45">
        <f>'Carson City'!I20+'Churchill '!I19+Clark!I59+Douglas!I42+Elko!I25+Esmeralda!I16+Eureka!I21+Humboldt!I27+Lander!I20+Lincoln!I27+'Lyon '!I30+Mineral!I17+'Nye '!I30+Pershing!I19+Storey!I17+Washoe!I31+'White Pine'!I17</f>
        <v>0</v>
      </c>
      <c r="I7" s="45">
        <f>'Carson City'!J20+'Churchill '!J19+Clark!J59+Douglas!J42+Elko!J25+Esmeralda!J16+Eureka!J21+Humboldt!J27+Lander!J20+Lincoln!J27+'Lyon '!J30+Mineral!J17+'Nye '!J30+Pershing!J19+Storey!J17+Washoe!J31+'White Pine'!J17</f>
        <v>35310810.329999998</v>
      </c>
      <c r="J7" s="45">
        <f>'Carson City'!K20+'Churchill '!K19+Clark!K59+Douglas!K42+Elko!K25+Esmeralda!K16+Eureka!K21+Humboldt!K27+Lander!K20+Lincoln!K27+'Lyon '!K30+Mineral!K17+'Nye '!K30+Pershing!K19+Storey!K17+Washoe!K31+'White Pine'!K17</f>
        <v>4583.0900000000011</v>
      </c>
      <c r="K7" s="45">
        <f>'Carson City'!L20+'Churchill '!L19+Clark!L59+Douglas!L42+Elko!L25+Esmeralda!L16+Eureka!L21+Humboldt!L27+Lander!L20+Lincoln!L27+'Lyon '!L30+Mineral!L17+'Nye '!L30+Pershing!L19+Storey!L17+Washoe!L31+'White Pine'!L17</f>
        <v>332418731.99999994</v>
      </c>
      <c r="L7" s="45">
        <f>'Carson City'!M20+'Churchill '!M19+Clark!M59+Douglas!M42+Elko!M25+Esmeralda!M16+Eureka!M21+Humboldt!M27+Lander!M20+Lincoln!M27+'Lyon '!M30+Mineral!M17+'Nye '!M30+Pershing!M19+Storey!M17+Washoe!M31+'White Pine'!M17</f>
        <v>70142167.819999993</v>
      </c>
      <c r="M7" s="45">
        <f>'Carson City'!N20+'Churchill '!N19+Clark!N59+Douglas!N42+Elko!N25+Esmeralda!N16+Eureka!N21+Humboldt!N27+Lander!N20+Lincoln!N27+'Lyon '!N30+Mineral!N17+'Nye '!N30+Pershing!N19+Storey!N17+Washoe!N31+'White Pine'!N17</f>
        <v>262276564.17999992</v>
      </c>
      <c r="N7" s="45">
        <f>'Carson City'!O20+'Churchill '!O19+Clark!O59+Douglas!O42+Elko!O25+Esmeralda!O16+Eureka!O21+Humboldt!O27+Lander!O20+Lincoln!O27+'Lyon '!O30+Mineral!O17+'Nye '!O30+Pershing!O19+Storey!O17+Washoe!O31+'White Pine'!O17</f>
        <v>1778193.3</v>
      </c>
      <c r="O7" s="45">
        <f>'Carson City'!P20+'Churchill '!P19+Clark!P59+Douglas!P42+Elko!P25+Esmeralda!P16+Eureka!P21+Humboldt!P27+Lander!P20+Lincoln!P27+'Lyon '!P30+Mineral!P17+'Nye '!P30+Pershing!P19+Storey!P17+Washoe!P31+'White Pine'!P17</f>
        <v>165546.51</v>
      </c>
      <c r="P7" s="45">
        <f>'Carson City'!Q20+'Churchill '!Q19+Clark!Q59+Douglas!Q42+Elko!Q25+Esmeralda!Q16+Eureka!N21+Humboldt!Q27+Lander!Q20+Lincoln!Q27+'Lyon '!Q30+Mineral!Q17+'Nye '!Q30+Pershing!Q19+Storey!Q17+Washoe!Q31+'White Pine'!Q17</f>
        <v>260429755.31999993</v>
      </c>
    </row>
    <row r="8" spans="1:18" s="4" customFormat="1" ht="12.75">
      <c r="A8" s="57" t="s">
        <v>16</v>
      </c>
      <c r="B8" s="88"/>
      <c r="C8" s="88"/>
      <c r="D8" s="45"/>
      <c r="E8" s="45">
        <f>'Carson City'!F21+'Churchill '!F20+Clark!F60+Douglas!F43+Elko!F26+Esmeralda!F17+Eureka!F22+Humboldt!F28+Lander!F21+Lincoln!F28+'Lyon '!F31+Mineral!F18+'Nye '!F31+Pershing!F20+Storey!F18+Washoe!F32+'White Pine'!F18</f>
        <v>5371750819.8235292</v>
      </c>
      <c r="F8" s="45">
        <f>'Carson City'!G21+'Churchill '!G20+Clark!G60+Douglas!G43+Elko!G26+Esmeralda!G17+Eureka!G22+Humboldt!G28+Lander!G21+Lincoln!G28+'Lyon '!G31+Mineral!G18+'Nye '!G31+Pershing!G20+Storey!G18+Washoe!G32+'White Pine'!G18</f>
        <v>9122905.6220199987</v>
      </c>
      <c r="G8" s="45">
        <f>'Carson City'!H21+'Churchill '!H20+Clark!H60+Douglas!H43+Elko!H26+Esmeralda!H17+Eureka!H22+Humboldt!H28+Lander!H21+Lincoln!H28+'Lyon '!H31+Mineral!H18+'Nye '!H31+Pershing!H20+Storey!H18+Washoe!H32+'White Pine'!H18</f>
        <v>0</v>
      </c>
      <c r="H8" s="45">
        <f>'Carson City'!I21+'Churchill '!I20+Clark!I60+Douglas!I43+Elko!I26+Esmeralda!I17+Eureka!I22+Humboldt!I28+Lander!I21+Lincoln!I28+'Lyon '!I31+Mineral!I18+'Nye '!I31+Pershing!I20+Storey!I18+Washoe!I32+'White Pine'!I18</f>
        <v>0</v>
      </c>
      <c r="I8" s="45">
        <f>'Carson City'!J21+'Churchill '!J20+Clark!J60+Douglas!J43+Elko!J26+Esmeralda!J17+Eureka!J22+Humboldt!J28+Lander!J21+Lincoln!J28+'Lyon '!J31+Mineral!J18+'Nye '!J31+Pershing!J20+Storey!J18+Washoe!J32+'White Pine'!J18</f>
        <v>0</v>
      </c>
      <c r="J8" s="45">
        <f>'Carson City'!K21+'Churchill '!K20+Clark!K60+Douglas!K43+Elko!K26+Esmeralda!K17+Eureka!K22+Humboldt!K28+Lander!K21+Lincoln!K28+'Lyon '!K31+Mineral!K18+'Nye '!K31+Pershing!K20+Storey!K18+Washoe!K32+'White Pine'!K18</f>
        <v>0</v>
      </c>
      <c r="K8" s="45">
        <f>'Carson City'!L21+'Churchill '!L20+Clark!L60+Douglas!L43+Elko!L26+Esmeralda!L17+Eureka!L22+Humboldt!L28+Lander!L21+Lincoln!L28+'Lyon '!L31+Mineral!L18+'Nye '!L31+Pershing!L20+Storey!L18+Washoe!L32+'White Pine'!L18</f>
        <v>9122905.6220199987</v>
      </c>
      <c r="L8" s="45">
        <f>'Carson City'!M21+'Churchill '!M20+Clark!M60+Douglas!M43+Elko!M26+Esmeralda!M17+Eureka!M22+Humboldt!M28+Lander!M21+Lincoln!M28+'Lyon '!M31+Mineral!M18+'Nye '!M31+Pershing!M20+Storey!M18+Washoe!M32+'White Pine'!M18</f>
        <v>0</v>
      </c>
      <c r="M8" s="45">
        <f>'Carson City'!N21+'Churchill '!N20+Clark!N60+Douglas!N43+Elko!N26+Esmeralda!N17+Eureka!N22+Humboldt!N28+Lander!N21+Lincoln!N28+'Lyon '!N31+Mineral!N18+'Nye '!N31+Pershing!N20+Storey!N18+Washoe!N32+'White Pine'!N18</f>
        <v>9122905.6220199987</v>
      </c>
      <c r="N8" s="45">
        <f>'Carson City'!O21+'Churchill '!O20+Clark!O60+Douglas!O43+Elko!O26+Esmeralda!O17+Eureka!O22+Humboldt!O28+Lander!O21+Lincoln!O28+'Lyon '!O31+Mineral!O18+'Nye '!O31+Pershing!O20+Storey!O18+Washoe!O32+'White Pine'!O18</f>
        <v>0</v>
      </c>
      <c r="O8" s="45">
        <f>'Carson City'!P21+'Churchill '!P20+Clark!P60+Douglas!P43+Elko!P26+Esmeralda!P17+Eureka!P22+Humboldt!P28+Lander!P21+Lincoln!P28+'Lyon '!P31+Mineral!P18+'Nye '!P31+Pershing!P20+Storey!P18+Washoe!P32+'White Pine'!P18</f>
        <v>0</v>
      </c>
      <c r="P8" s="45">
        <f>'Carson City'!N21+'Churchill '!Q20+Clark!Q60+Douglas!Q43+Elko!Q26+Esmeralda!Q17+Eureka!Q22+Humboldt!Q28+Lander!N21+Lincoln!Q28+'Lyon '!Q31+Mineral!Q18+'Nye '!Q31+Pershing!Q20+Storey!Q18+Washoe!Q32+'White Pine'!Q18</f>
        <v>9122905.6220199987</v>
      </c>
    </row>
    <row r="9" spans="1:18" s="4" customFormat="1" ht="12.75">
      <c r="A9" s="57" t="s">
        <v>17</v>
      </c>
      <c r="B9" s="93"/>
      <c r="C9" s="93"/>
      <c r="D9" s="45"/>
      <c r="E9" s="45">
        <f>'Carson City'!F22+'Churchill '!F21+Clark!F61+Douglas!F44+Elko!F27+Esmeralda!F18+Eureka!F23+Humboldt!F29+Lander!F22+Lincoln!F29+'Lyon '!F32+Mineral!F19+'Nye '!F32+Pershing!F21+Storey!F19+Washoe!F33+'White Pine'!F19</f>
        <v>11921639769</v>
      </c>
      <c r="F9" s="45">
        <f>'Carson City'!G22+'Churchill '!G21+Clark!G61+Douglas!G44+Elko!G27+Esmeralda!G18+Eureka!G23+Humboldt!G29+Lander!G22+Lincoln!G29+'Lyon '!G32+Mineral!G19+'Nye '!G32+Pershing!G21+Storey!G19+Washoe!G33+'White Pine'!G19</f>
        <v>0</v>
      </c>
      <c r="G9" s="45">
        <f>'Carson City'!H22+'Churchill '!H21+Clark!H61+Douglas!H44+Elko!H27+Esmeralda!H18+Eureka!H23+Humboldt!H29+Lander!H22+Lincoln!H29+'Lyon '!H32+Mineral!H19+'Nye '!H32+Pershing!H21+Storey!H19+Washoe!H33+'White Pine'!H19</f>
        <v>20156522.035770003</v>
      </c>
      <c r="H9" s="45">
        <f>'Carson City'!I22+'Churchill '!I21+Clark!I61+Douglas!I44+Elko!I27+Esmeralda!I18+Eureka!I23+Humboldt!I29+Lander!I22+Lincoln!I29+'Lyon '!I32+Mineral!I19+'Nye '!I32+Pershing!I21+Storey!I19+Washoe!I33+'White Pine'!I19</f>
        <v>0</v>
      </c>
      <c r="I9" s="45">
        <f>'Carson City'!J22+'Churchill '!J21+Clark!J61+Douglas!J44+Elko!J27+Esmeralda!J18+Eureka!J23+Humboldt!J29+Lander!J22+Lincoln!J29+'Lyon '!J32+Mineral!J19+'Nye '!J32+Pershing!J21+Storey!J19+Washoe!J33+'White Pine'!J19</f>
        <v>0</v>
      </c>
      <c r="J9" s="45">
        <f>'Carson City'!K22+'Churchill '!K21+Clark!K61+Douglas!K44+Elko!K27+Esmeralda!K18+Eureka!K23+Humboldt!K29+Lander!K22+Lincoln!K29+'Lyon '!K32+Mineral!K19+'Nye '!K32+Pershing!K21+Storey!K19+Washoe!K33+'White Pine'!K19</f>
        <v>0</v>
      </c>
      <c r="K9" s="45">
        <f>'Carson City'!L22+'Churchill '!L21+Clark!L61+Douglas!L44+Elko!L27+Esmeralda!L18+Eureka!L23+Humboldt!L29+Lander!L22+Lincoln!L29+'Lyon '!L32+Mineral!L19+'Nye '!L32+Pershing!L21+Storey!L19+Washoe!L33+'White Pine'!L19</f>
        <v>20156522.035770003</v>
      </c>
      <c r="L9" s="45">
        <f>'Carson City'!M22+'Churchill '!M21+Clark!M61+Douglas!M44+Elko!M27+Esmeralda!M18+Eureka!M23+Humboldt!M29+Lander!M22+Lincoln!M29+'Lyon '!M32+Mineral!M19+'Nye '!M32+Pershing!M21+Storey!M19+Washoe!M33+'White Pine'!M19</f>
        <v>0</v>
      </c>
      <c r="M9" s="45">
        <f>'Carson City'!N22+'Churchill '!N21+Clark!N61+Douglas!N44+Elko!N27+Esmeralda!N18+Eureka!N23+Humboldt!N29+Lander!N22+Lincoln!N29+'Lyon '!N32+Mineral!N19+'Nye '!N32+Pershing!N21+Storey!N19+Washoe!N33+'White Pine'!N19</f>
        <v>20156522.035770003</v>
      </c>
      <c r="N9" s="45">
        <f>'Carson City'!O22+'Churchill '!O21+Clark!O61+Douglas!O44+Elko!O27+Esmeralda!O18+Eureka!O23+Humboldt!O29+Lander!O22+Lincoln!O29+'Lyon '!O32+Mineral!O19+'Nye '!O32+Pershing!O21+Storey!O19+Washoe!O33+'White Pine'!O19</f>
        <v>0</v>
      </c>
      <c r="O9" s="45">
        <f>'Carson City'!P22+'Churchill '!P21+Clark!P61+Douglas!P44+Elko!P27+Esmeralda!P18+Eureka!P23+Humboldt!P29+Lander!P22+Lincoln!P29+'Lyon '!P32+Mineral!P19+'Nye '!P32+Pershing!P21+Storey!P19+Washoe!P33+'White Pine'!P19</f>
        <v>62339.61</v>
      </c>
      <c r="P9" s="45">
        <f>'Carson City'!Q22+'Churchill '!N21+Clark!Q61+Douglas!Q44+Elko!Q27+Esmeralda!Q18+Eureka!Q23+Humboldt!Q29+Lander!Q22+Lincoln!Q29+'Lyon '!Q32+Mineral!Q19+'Nye '!Q32+Pershing!N21+Storey!Q19+Washoe!Q33+'White Pine'!Q19</f>
        <v>20094182.42577</v>
      </c>
    </row>
    <row r="10" spans="1:18" s="4" customFormat="1" ht="12.75">
      <c r="A10" s="57" t="s">
        <v>18</v>
      </c>
      <c r="B10" s="88"/>
      <c r="C10" s="88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8" s="4" customFormat="1" ht="12.75">
      <c r="A11" s="281" t="s">
        <v>19</v>
      </c>
      <c r="B11" s="88"/>
      <c r="C11" s="88"/>
      <c r="D11" s="45"/>
      <c r="E11" s="45">
        <f>'Carson City'!F24+'Churchill '!F23+Clark!F63+Douglas!F46+Elko!F29+Esmeralda!F20+Eureka!F25+Humboldt!F31+Lander!F24+Lincoln!F31+'Lyon '!F34+Mineral!F21+'Nye '!F34+Pershing!F23+Storey!F21+Washoe!F35+'White Pine'!F21</f>
        <v>5169220211.9499989</v>
      </c>
      <c r="F11" s="45">
        <f>'Carson City'!G24+'Churchill '!G23+Clark!G63+Douglas!G46+Elko!G29+Esmeralda!G20+Eureka!G25+Humboldt!G31+Lander!G24+Lincoln!G31+'Lyon '!G34+Mineral!G21+'Nye '!G34+Pershing!G23+Storey!G21+Washoe!G35+'White Pine'!G21</f>
        <v>3105167.54</v>
      </c>
      <c r="G11" s="45">
        <f>'Carson City'!H24+'Churchill '!H23+Clark!H63+Douglas!H46+Elko!H29+Esmeralda!H20+Eureka!H25+Humboldt!H31+Lander!H24+Lincoln!H31+'Lyon '!H34+Mineral!H21+'Nye '!H34+Pershing!H23+Storey!H21+Washoe!H35+'White Pine'!H21</f>
        <v>6340429.169999999</v>
      </c>
      <c r="H11" s="45">
        <f>'Carson City'!I24+'Churchill '!I23+Clark!I63+Douglas!I46+Elko!I29+Esmeralda!I20+Eureka!I25+Humboldt!I31+Lander!I24+Lincoln!I31+'Lyon '!I34+Mineral!I21+'Nye '!I34+Pershing!I23+Storey!I21+Washoe!I35+'White Pine'!I21</f>
        <v>0</v>
      </c>
      <c r="I11" s="45">
        <f>'Carson City'!J24+'Churchill '!J23+Clark!J63+Douglas!J46+Elko!J29+Esmeralda!J20+Eureka!J25+Humboldt!J31+Lander!J24+Lincoln!J31+'Lyon '!J34+Mineral!J21+'Nye '!J34+Pershing!J23+Storey!J21+Washoe!J35+'White Pine'!J21</f>
        <v>715561.93999999983</v>
      </c>
      <c r="J11" s="45">
        <f>'Carson City'!K24+'Churchill '!K23+Clark!K63+Douglas!K46+Elko!K29+Esmeralda!K20+Eureka!K25+Humboldt!K31+Lander!K24+Lincoln!K31+'Lyon '!K34+Mineral!K21+'Nye '!K34+Pershing!K23+Storey!K21+Washoe!K35+'White Pine'!K21</f>
        <v>0</v>
      </c>
      <c r="K11" s="45">
        <f>'Carson City'!L24+'Churchill '!L23+Clark!L63+Douglas!L46+Elko!L29+Esmeralda!L20+Eureka!L25+Humboldt!L31+Lander!L24+Lincoln!L31+'Lyon '!L34+Mineral!L21+'Nye '!L34+Pershing!L23+Storey!L21+Washoe!L35+'White Pine'!L21</f>
        <v>8730034.7699999996</v>
      </c>
      <c r="L11" s="45">
        <f>'Carson City'!M24+'Churchill '!M23+Clark!M63+Douglas!M46+Elko!M29+Esmeralda!M20+Eureka!M25+Humboldt!M31+Lander!M24+Lincoln!M31+'Lyon '!M34+Mineral!M21+'Nye '!M34+Pershing!M23+Storey!M21+Washoe!M35+'White Pine'!M21</f>
        <v>382682.75000000006</v>
      </c>
      <c r="M11" s="45">
        <f>'Carson City'!N24+'Churchill '!N23+Clark!N63+Douglas!N46+Elko!N29+Esmeralda!N20+Eureka!N25+Humboldt!N31+Lander!N24+Lincoln!N31+'Lyon '!N34+Mineral!N21+'Nye '!N34+Pershing!N23+Storey!N21+Washoe!N35+'White Pine'!N21</f>
        <v>8347352.0200000014</v>
      </c>
      <c r="N11" s="45">
        <f>'Carson City'!O24+'Churchill '!O23+Clark!O63+Douglas!O46+Elko!O29+Esmeralda!O20+Eureka!O25+Humboldt!O31+Lander!O24+Lincoln!O31+'Lyon '!O34+Mineral!O21+'Nye '!O34+Pershing!O23+Storey!O21+Washoe!O35+'White Pine'!O21</f>
        <v>254368.22999999998</v>
      </c>
      <c r="O11" s="45">
        <f>'Carson City'!P24+'Churchill '!P23+Clark!P63+Douglas!P46+Elko!P29+Esmeralda!P20+Eureka!P25+Humboldt!P31+Lander!P24+Lincoln!P31+'Lyon '!P34+Mineral!P21+'Nye '!P34+Pershing!P23+Storey!P21+Washoe!P35+'White Pine'!P21</f>
        <v>308511.13999999996</v>
      </c>
      <c r="P11" s="45">
        <f>'Carson City'!Q24+'Churchill '!Q23+Clark!Q63+Douglas!Q46+Elko!Q29+Esmeralda!Q20+Eureka!Q25+Humboldt!Q31+Lander!Q24+Lincoln!Q31+'Lyon '!Q34+Mineral!N21+'Nye '!Q34+Pershing!Q23+Storey!N21+Washoe!Q35+'White Pine'!N21</f>
        <v>7834524.8000000007</v>
      </c>
    </row>
    <row r="12" spans="1:18" s="4" customFormat="1" ht="12.75">
      <c r="A12" s="281" t="s">
        <v>20</v>
      </c>
      <c r="B12" s="88"/>
      <c r="C12" s="88"/>
      <c r="D12" s="190"/>
      <c r="E12" s="190">
        <f>'Carson City'!F25+'Churchill '!F24+Clark!F64+Douglas!F47+Elko!F30+Esmeralda!F21+Eureka!F26+Humboldt!F32+Lander!F25+Lincoln!F32+'Lyon '!F35+Mineral!F22+'Nye '!F35+Pershing!F24+Storey!F22+Washoe!F36+'White Pine'!F22</f>
        <v>333070756.01999998</v>
      </c>
      <c r="F12" s="190">
        <f>'Carson City'!G25+'Churchill '!G24+Clark!G64+Douglas!G47+Elko!G30+Esmeralda!G21+Eureka!G26+Humboldt!G32+Lander!G25+Lincoln!G32+'Lyon '!G35+Mineral!G22+'Nye '!G35+Pershing!G24+Storey!G22+Washoe!G36+'White Pine'!G22</f>
        <v>550308.03999999992</v>
      </c>
      <c r="G12" s="190">
        <f>'Carson City'!H25+'Churchill '!H24+Clark!H64+Douglas!H47+Elko!H30+Esmeralda!H21+Eureka!H26+Humboldt!H32+Lander!H25+Lincoln!H32+'Lyon '!H35+Mineral!H22+'Nye '!H35+Pershing!H24+Storey!H22+Washoe!H36+'White Pine'!H22</f>
        <v>15907.38</v>
      </c>
      <c r="H12" s="190">
        <f>'Carson City'!I25+'Churchill '!I24+Clark!I64+Douglas!I47+Elko!I30+Esmeralda!I21+Eureka!I26+Humboldt!I32+Lander!I25+Lincoln!I32+'Lyon '!I35+Mineral!I22+'Nye '!I35+Pershing!I24+Storey!I22+Washoe!I36+'White Pine'!I22</f>
        <v>0</v>
      </c>
      <c r="I12" s="190">
        <f>'Carson City'!J25+'Churchill '!J24+Clark!J64+Douglas!J47+Elko!J30+Esmeralda!J21+Eureka!J26+Humboldt!J32+Lander!J25+Lincoln!J32+'Lyon '!J35+Mineral!J22+'Nye '!J35+Pershing!J24+Storey!J22+Washoe!J36+'White Pine'!J22</f>
        <v>0</v>
      </c>
      <c r="J12" s="190">
        <f>'Carson City'!K25+'Churchill '!K24+Clark!K64+Douglas!K47+Elko!K30+Esmeralda!K21+Eureka!K26+Humboldt!K32+Lander!K25+Lincoln!K32+'Lyon '!K35+Mineral!K22+'Nye '!K35+Pershing!K24+Storey!K22+Washoe!K36+'White Pine'!K22</f>
        <v>0</v>
      </c>
      <c r="K12" s="190">
        <f>'Carson City'!L25+'Churchill '!L24+Clark!L64+Douglas!L47+Elko!L30+Esmeralda!L21+Eureka!L26+Humboldt!L32+Lander!L25+Lincoln!L32+'Lyon '!L35+Mineral!L22+'Nye '!L35+Pershing!L24+Storey!L22+Washoe!L36+'White Pine'!L22</f>
        <v>566215.41999999993</v>
      </c>
      <c r="L12" s="190">
        <f>'Carson City'!M25+'Churchill '!M24+Clark!M64+Douglas!M47+Elko!M30+Esmeralda!M21+Eureka!M26+Humboldt!M32+Lander!M25+Lincoln!M32+'Lyon '!M35+Mineral!M22+'Nye '!M35+Pershing!M24+Storey!M22+Washoe!M36+'White Pine'!M22</f>
        <v>12.849999999999998</v>
      </c>
      <c r="M12" s="190">
        <f>'Carson City'!N25+'Churchill '!N24+Clark!N64+Douglas!N47+Elko!N30+Esmeralda!N21+Eureka!N26+Humboldt!N32+Lander!N25+Lincoln!N32+'Lyon '!N35+Mineral!N22+'Nye '!N35+Pershing!N24+Storey!N22+Washoe!N36+'White Pine'!N22</f>
        <v>566202.56999999995</v>
      </c>
      <c r="N12" s="190">
        <f>'Carson City'!O25+'Churchill '!O24+Clark!O64+Douglas!O47+Elko!O30+Esmeralda!O21+Eureka!O26+Humboldt!O32+Lander!O25+Lincoln!O32+'Lyon '!O35+Mineral!O22+'Nye '!O35+Pershing!O24+Storey!O22+Washoe!O36+'White Pine'!O22</f>
        <v>0</v>
      </c>
      <c r="O12" s="190">
        <f>'Carson City'!P25+'Churchill '!P24+Clark!P64+Douglas!P47+Elko!P30+Esmeralda!P21+Eureka!P26+Humboldt!P32+Lander!P25+Lincoln!P32+'Lyon '!P35+Mineral!P22+'Nye '!P35+Pershing!P24+Storey!P22+Washoe!P36+'White Pine'!P22</f>
        <v>866.76999999999987</v>
      </c>
      <c r="P12" s="190">
        <f>'Carson City'!Q25+'Churchill '!Q24+Clark!Q64+Douglas!Q47+Elko!Q30+Esmeralda!N21+Eureka!Q26+Humboldt!Q32+Lander!Q25+Lincoln!Q32+'Lyon '!Q35+Mineral!Q22+'Nye '!Q35+Pershing!Q24+Storey!Q22+Washoe!Q36+'White Pine'!Q22</f>
        <v>565335.80000000005</v>
      </c>
    </row>
    <row r="13" spans="1:18" s="4" customFormat="1" ht="12">
      <c r="A13" s="119"/>
      <c r="B13" s="88"/>
      <c r="C13" s="88"/>
      <c r="D13" s="45"/>
      <c r="E13" s="3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</row>
    <row r="14" spans="1:18" s="4" customFormat="1" ht="13.5" thickBot="1">
      <c r="A14" s="19" t="s">
        <v>21</v>
      </c>
      <c r="B14" s="88"/>
      <c r="C14" s="88"/>
      <c r="D14" s="191"/>
      <c r="E14" s="191">
        <f t="shared" ref="E14:P14" si="0">SUM(E7:E9,E11:E12)</f>
        <v>246332297679.79352</v>
      </c>
      <c r="F14" s="192">
        <f t="shared" si="0"/>
        <v>14793264.962019999</v>
      </c>
      <c r="G14" s="192">
        <f t="shared" si="0"/>
        <v>392222934.06577009</v>
      </c>
      <c r="H14" s="192">
        <f t="shared" si="0"/>
        <v>0</v>
      </c>
      <c r="I14" s="192">
        <f t="shared" si="0"/>
        <v>36026372.269999996</v>
      </c>
      <c r="J14" s="192">
        <f t="shared" si="0"/>
        <v>4583.0900000000011</v>
      </c>
      <c r="K14" s="192">
        <f t="shared" si="0"/>
        <v>370994409.84778994</v>
      </c>
      <c r="L14" s="192">
        <f t="shared" si="0"/>
        <v>70524863.419999987</v>
      </c>
      <c r="M14" s="192">
        <f t="shared" si="0"/>
        <v>300469546.42778987</v>
      </c>
      <c r="N14" s="192">
        <f t="shared" si="0"/>
        <v>2032561.53</v>
      </c>
      <c r="O14" s="192">
        <f t="shared" si="0"/>
        <v>537264.03</v>
      </c>
      <c r="P14" s="192">
        <f t="shared" si="0"/>
        <v>298046703.96778995</v>
      </c>
    </row>
    <row r="15" spans="1:18" s="4" customFormat="1" ht="12.75" thickTop="1">
      <c r="A15" s="89"/>
      <c r="B15" s="91"/>
      <c r="C15" s="91"/>
      <c r="D15" s="44"/>
      <c r="E15" s="44"/>
      <c r="F15" s="120"/>
      <c r="G15" s="114"/>
      <c r="H15" s="114"/>
      <c r="I15" s="114"/>
      <c r="J15" s="114"/>
      <c r="K15" s="114"/>
      <c r="L15" s="114"/>
      <c r="M15" s="114"/>
      <c r="N15" s="114"/>
      <c r="O15" s="114"/>
      <c r="P15" s="114"/>
    </row>
    <row r="16" spans="1:18" s="4" customFormat="1" ht="12">
      <c r="A16" s="119"/>
      <c r="B16" s="88"/>
      <c r="C16" s="88"/>
      <c r="D16" s="3"/>
      <c r="E16" s="3"/>
      <c r="F16" s="114"/>
      <c r="G16" s="114"/>
      <c r="H16" s="114"/>
      <c r="I16" s="114"/>
      <c r="J16" s="114"/>
      <c r="K16" s="276" t="s">
        <v>388</v>
      </c>
      <c r="L16" s="277">
        <f>L14/K14</f>
        <v>0.1900968358227679</v>
      </c>
      <c r="M16" s="114"/>
      <c r="N16" s="114"/>
      <c r="O16" s="114"/>
      <c r="P16" s="114"/>
    </row>
    <row r="17" spans="1:16" s="4" customFormat="1" ht="12">
      <c r="A17" s="236" t="s">
        <v>371</v>
      </c>
      <c r="B17" s="93"/>
      <c r="C17" s="93"/>
      <c r="D17" s="121"/>
      <c r="E17" s="121"/>
      <c r="F17" s="122"/>
      <c r="G17" s="114"/>
      <c r="H17" s="114"/>
      <c r="I17" s="114"/>
      <c r="J17" s="114"/>
      <c r="K17" s="114"/>
      <c r="L17" s="114"/>
      <c r="M17" s="114"/>
      <c r="N17" s="114"/>
      <c r="O17" s="114"/>
      <c r="P17" s="114"/>
    </row>
    <row r="18" spans="1:16" s="4" customFormat="1" ht="12">
      <c r="A18" s="119"/>
      <c r="B18" s="88"/>
      <c r="C18" s="88"/>
      <c r="D18" s="3"/>
      <c r="E18" s="3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</row>
    <row r="19" spans="1:16" s="4" customFormat="1" ht="12">
      <c r="A19" s="94" t="s">
        <v>0</v>
      </c>
      <c r="B19" s="88"/>
      <c r="C19" s="88"/>
      <c r="D19" s="3">
        <f>'Carson City'!D27</f>
        <v>20783</v>
      </c>
      <c r="E19" s="3">
        <f>'Carson City'!F27</f>
        <v>2720406426.662353</v>
      </c>
      <c r="F19" s="114">
        <f>'Carson City'!G27</f>
        <v>178297.25610000003</v>
      </c>
      <c r="G19" s="114">
        <f>'Carson City'!H27</f>
        <v>4467027.1877999995</v>
      </c>
      <c r="H19" s="114">
        <f>'Carson City'!I27</f>
        <v>0</v>
      </c>
      <c r="I19" s="114">
        <f>'Carson City'!J27</f>
        <v>16409.16</v>
      </c>
      <c r="J19" s="114">
        <f>'Carson City'!K27</f>
        <v>23.24</v>
      </c>
      <c r="K19" s="114">
        <f>'Carson City'!L27</f>
        <v>4628938.5238999994</v>
      </c>
      <c r="L19" s="114">
        <f>'Carson City'!M27</f>
        <v>628841.31999999995</v>
      </c>
      <c r="M19" s="114">
        <f>'Carson City'!N27</f>
        <v>4000097.2039000005</v>
      </c>
      <c r="N19" s="114">
        <f>'Carson City'!O27</f>
        <v>258259.36000000002</v>
      </c>
      <c r="O19" s="114">
        <f>'Carson City'!P27</f>
        <v>0</v>
      </c>
      <c r="P19" s="114">
        <f>'Carson City'!Q27</f>
        <v>3741837.8439000002</v>
      </c>
    </row>
    <row r="20" spans="1:16" s="4" customFormat="1" ht="12">
      <c r="A20" s="94" t="s">
        <v>255</v>
      </c>
      <c r="B20" s="88"/>
      <c r="C20" s="88"/>
      <c r="D20" s="3">
        <f>'Churchill '!D26</f>
        <v>12371</v>
      </c>
      <c r="E20" s="3">
        <f>'Churchill '!F26</f>
        <v>1251367410.7299998</v>
      </c>
      <c r="F20" s="114">
        <f>'Churchill '!G26</f>
        <v>133593.31299999999</v>
      </c>
      <c r="G20" s="114">
        <f>'Churchill '!H26</f>
        <v>2013829.2535000001</v>
      </c>
      <c r="H20" s="114">
        <f>'Churchill '!I26</f>
        <v>0</v>
      </c>
      <c r="I20" s="114">
        <f>'Churchill '!J26</f>
        <v>19918.61</v>
      </c>
      <c r="J20" s="114">
        <f>'Churchill '!K26</f>
        <v>34.22</v>
      </c>
      <c r="K20" s="114">
        <f>'Churchill '!L26</f>
        <v>2127538.1765000005</v>
      </c>
      <c r="L20" s="114">
        <f>'Churchill '!M26</f>
        <v>238700.43</v>
      </c>
      <c r="M20" s="114">
        <f>'Churchill '!N26</f>
        <v>1888837.7465000001</v>
      </c>
      <c r="N20" s="114">
        <f>'Churchill '!O26</f>
        <v>0</v>
      </c>
      <c r="O20" s="114">
        <f>'Churchill '!P26</f>
        <v>5627.89</v>
      </c>
      <c r="P20" s="114">
        <f>'Churchill '!Q26</f>
        <v>1883209.8565000002</v>
      </c>
    </row>
    <row r="21" spans="1:16" s="4" customFormat="1" ht="12">
      <c r="A21" s="94" t="s">
        <v>256</v>
      </c>
      <c r="B21" s="88"/>
      <c r="C21" s="88"/>
      <c r="D21" s="3">
        <f>Clark!D66</f>
        <v>860904</v>
      </c>
      <c r="E21" s="3">
        <f>Clark!F66</f>
        <v>181164136911.33234</v>
      </c>
      <c r="F21" s="3">
        <f>Clark!G66</f>
        <v>6579672.9799999995</v>
      </c>
      <c r="G21" s="3">
        <f>Clark!H66</f>
        <v>288370567.72999996</v>
      </c>
      <c r="H21" s="3">
        <f>Clark!I66</f>
        <v>0</v>
      </c>
      <c r="I21" s="3">
        <f>Clark!J66</f>
        <v>28048282.489999998</v>
      </c>
      <c r="J21" s="3">
        <f>Clark!K66</f>
        <v>0</v>
      </c>
      <c r="K21" s="3">
        <f>Clark!L66</f>
        <v>266901958.21999994</v>
      </c>
      <c r="L21" s="3">
        <f>Clark!M66</f>
        <v>54608181.279999994</v>
      </c>
      <c r="M21" s="3">
        <f>Clark!N66</f>
        <v>212293776.93999997</v>
      </c>
      <c r="N21" s="3">
        <f>Clark!O66</f>
        <v>248421.9</v>
      </c>
      <c r="O21" s="114">
        <f>Clark!P66</f>
        <v>73956.760000000009</v>
      </c>
      <c r="P21" s="114">
        <f>Clark!Q66</f>
        <v>211971398.27999997</v>
      </c>
    </row>
    <row r="22" spans="1:16" s="4" customFormat="1" ht="12">
      <c r="A22" s="94" t="s">
        <v>257</v>
      </c>
      <c r="B22" s="88"/>
      <c r="C22" s="88"/>
      <c r="D22" s="3">
        <f>Douglas!D49</f>
        <v>27985</v>
      </c>
      <c r="E22" s="3">
        <f>Douglas!F49</f>
        <v>5214250659.2494116</v>
      </c>
      <c r="F22" s="114">
        <f>Douglas!G49</f>
        <v>271056.51790000004</v>
      </c>
      <c r="G22" s="114">
        <f>Douglas!H49</f>
        <v>8580287.477</v>
      </c>
      <c r="H22" s="114">
        <f>Douglas!I49</f>
        <v>0</v>
      </c>
      <c r="I22" s="114">
        <f>Douglas!J49</f>
        <v>34208.32</v>
      </c>
      <c r="J22" s="114">
        <f>Douglas!K49</f>
        <v>214.2</v>
      </c>
      <c r="K22" s="114">
        <f>Douglas!L49</f>
        <v>8817349.8748999983</v>
      </c>
      <c r="L22" s="114">
        <f>Douglas!M49</f>
        <v>1019865.0499999999</v>
      </c>
      <c r="M22" s="114">
        <f>Douglas!N49</f>
        <v>7797484.8249000004</v>
      </c>
      <c r="N22" s="114">
        <f>Douglas!O49</f>
        <v>189158.71999999997</v>
      </c>
      <c r="O22" s="114">
        <f>Douglas!P49</f>
        <v>0</v>
      </c>
      <c r="P22" s="114">
        <f>Douglas!Q49</f>
        <v>7608326.1048999997</v>
      </c>
    </row>
    <row r="23" spans="1:16" s="4" customFormat="1" ht="12">
      <c r="A23" s="94" t="s">
        <v>258</v>
      </c>
      <c r="B23" s="88"/>
      <c r="C23" s="88"/>
      <c r="D23" s="3">
        <f>Elko!D32</f>
        <v>43442</v>
      </c>
      <c r="E23" s="3">
        <f>Elko!F32</f>
        <v>2658204963.825294</v>
      </c>
      <c r="F23" s="114">
        <f>Elko!G32</f>
        <v>295257.19319999998</v>
      </c>
      <c r="G23" s="114">
        <f>Elko!H32</f>
        <v>4342061.5558999991</v>
      </c>
      <c r="H23" s="114">
        <f>Elko!I32</f>
        <v>0</v>
      </c>
      <c r="I23" s="114">
        <f>Elko!J32</f>
        <v>119766.40000000001</v>
      </c>
      <c r="J23" s="114">
        <f>Elko!K32</f>
        <v>39.4</v>
      </c>
      <c r="K23" s="114">
        <f>Elko!L32</f>
        <v>4517591.7490999997</v>
      </c>
      <c r="L23" s="114">
        <f>Elko!M32</f>
        <v>140766.09999999998</v>
      </c>
      <c r="M23" s="114">
        <f>Elko!N32</f>
        <v>4376825.6491</v>
      </c>
      <c r="N23" s="114">
        <f>Elko!O32</f>
        <v>27972.04</v>
      </c>
      <c r="O23" s="114">
        <f>Elko!P32</f>
        <v>9.82</v>
      </c>
      <c r="P23" s="114">
        <f>Elko!Q32</f>
        <v>4348843.7891000006</v>
      </c>
    </row>
    <row r="24" spans="1:16" s="46" customFormat="1" ht="12">
      <c r="A24" s="94" t="s">
        <v>259</v>
      </c>
      <c r="B24" s="90"/>
      <c r="C24" s="90"/>
      <c r="D24" s="282">
        <f>Esmeralda!D23</f>
        <v>2577</v>
      </c>
      <c r="E24" s="282">
        <f>Esmeralda!F23</f>
        <v>193544496.6788235</v>
      </c>
      <c r="F24" s="114">
        <f>Esmeralda!G23</f>
        <v>121411.66309999999</v>
      </c>
      <c r="G24" s="114">
        <f>Esmeralda!H23</f>
        <v>207820.85820000002</v>
      </c>
      <c r="H24" s="114">
        <f>Esmeralda!I23</f>
        <v>0</v>
      </c>
      <c r="I24" s="114">
        <f>Esmeralda!J23</f>
        <v>57852.83</v>
      </c>
      <c r="J24" s="114">
        <f>Esmeralda!K23</f>
        <v>0</v>
      </c>
      <c r="K24" s="114">
        <f>Esmeralda!L23</f>
        <v>271379.69130000001</v>
      </c>
      <c r="L24" s="114">
        <f>Esmeralda!M23</f>
        <v>2701.71</v>
      </c>
      <c r="M24" s="114">
        <f>Esmeralda!N23</f>
        <v>268677.98129999998</v>
      </c>
      <c r="N24" s="114">
        <f>Esmeralda!O23</f>
        <v>0</v>
      </c>
      <c r="O24" s="114">
        <f>Esmeralda!P23</f>
        <v>0</v>
      </c>
      <c r="P24" s="114">
        <f>Esmeralda!Q23</f>
        <v>268677.98129999998</v>
      </c>
    </row>
    <row r="25" spans="1:16" s="46" customFormat="1" ht="12">
      <c r="A25" s="94" t="s">
        <v>260</v>
      </c>
      <c r="B25" s="90"/>
      <c r="C25" s="90"/>
      <c r="D25" s="282">
        <f>Eureka!D28</f>
        <v>3843</v>
      </c>
      <c r="E25" s="282">
        <f>Eureka!F28</f>
        <v>889897215.16235304</v>
      </c>
      <c r="F25" s="114">
        <f>Eureka!G28</f>
        <v>286794.40000000002</v>
      </c>
      <c r="G25" s="114">
        <f>Eureka!H28</f>
        <v>1829971.3281</v>
      </c>
      <c r="H25" s="114">
        <f>Eureka!I28</f>
        <v>0</v>
      </c>
      <c r="I25" s="114">
        <f>Eureka!J28</f>
        <v>603942.01</v>
      </c>
      <c r="J25" s="114">
        <f>Eureka!K28</f>
        <v>4.92</v>
      </c>
      <c r="K25" s="114">
        <f>Eureka!L28</f>
        <v>1512828.6381000001</v>
      </c>
      <c r="L25" s="114">
        <f>Eureka!M28</f>
        <v>30764.959999999999</v>
      </c>
      <c r="M25" s="114">
        <f>Eureka!N28</f>
        <v>1482063.6780999999</v>
      </c>
      <c r="N25" s="114">
        <f>Eureka!O28</f>
        <v>0</v>
      </c>
      <c r="O25" s="114">
        <f>Eureka!P28</f>
        <v>96930.95</v>
      </c>
      <c r="P25" s="114">
        <f>Eureka!Q28</f>
        <v>1385132.7280999999</v>
      </c>
    </row>
    <row r="26" spans="1:16" s="4" customFormat="1" ht="12">
      <c r="A26" s="94" t="s">
        <v>261</v>
      </c>
      <c r="B26" s="88"/>
      <c r="C26" s="88"/>
      <c r="D26" s="115">
        <f>Humboldt!D34</f>
        <v>15940</v>
      </c>
      <c r="E26" s="115">
        <f>Humboldt!F34</f>
        <v>1472840713.1994116</v>
      </c>
      <c r="F26" s="114">
        <f>Humboldt!G34</f>
        <v>526671.40889999992</v>
      </c>
      <c r="G26" s="114">
        <f>Humboldt!H34</f>
        <v>2110887.4906000001</v>
      </c>
      <c r="H26" s="114">
        <f>Humboldt!I34</f>
        <v>0</v>
      </c>
      <c r="I26" s="114">
        <f>Humboldt!J34</f>
        <v>133732.98000000001</v>
      </c>
      <c r="J26" s="114">
        <f>Humboldt!K34</f>
        <v>17.87</v>
      </c>
      <c r="K26" s="114">
        <f>Humboldt!L34</f>
        <v>2503843.7895</v>
      </c>
      <c r="L26" s="114">
        <f>Humboldt!M34</f>
        <v>78520.09</v>
      </c>
      <c r="M26" s="114">
        <f>Humboldt!N34</f>
        <v>2425323.6994999996</v>
      </c>
      <c r="N26" s="114">
        <f>Humboldt!O34</f>
        <v>0</v>
      </c>
      <c r="O26" s="114">
        <f>Humboldt!P34</f>
        <v>16200</v>
      </c>
      <c r="P26" s="114">
        <f>Humboldt!Q34</f>
        <v>2409123.6994999996</v>
      </c>
    </row>
    <row r="27" spans="1:16" s="4" customFormat="1" ht="12">
      <c r="A27" s="94" t="s">
        <v>262</v>
      </c>
      <c r="B27" s="46"/>
      <c r="C27" s="46"/>
      <c r="D27" s="115">
        <f>Lander!D27</f>
        <v>6774</v>
      </c>
      <c r="E27" s="115">
        <f>Lander!F27</f>
        <v>830269701.19411778</v>
      </c>
      <c r="F27" s="114">
        <f>Lander!G27</f>
        <v>172761.0913</v>
      </c>
      <c r="G27" s="114">
        <f>Lander!H27</f>
        <v>1339213.2122000002</v>
      </c>
      <c r="H27" s="114">
        <f>Lander!I27</f>
        <v>0</v>
      </c>
      <c r="I27" s="114">
        <f>Lander!J27</f>
        <v>100516.83</v>
      </c>
      <c r="J27" s="114">
        <f>Lander!K27</f>
        <v>4.7</v>
      </c>
      <c r="K27" s="114">
        <f>Lander!L27</f>
        <v>1411462.1735</v>
      </c>
      <c r="L27" s="114">
        <f>Lander!M27</f>
        <v>33575.67</v>
      </c>
      <c r="M27" s="114">
        <f>Lander!N27</f>
        <v>1377886.5035000003</v>
      </c>
      <c r="N27" s="114">
        <f>Lander!O27</f>
        <v>0</v>
      </c>
      <c r="O27" s="114">
        <f>Lander!P27</f>
        <v>88134.49</v>
      </c>
      <c r="P27" s="114">
        <f>Lander!Q27</f>
        <v>1289752.0135000004</v>
      </c>
    </row>
    <row r="28" spans="1:16" s="4" customFormat="1" ht="12">
      <c r="A28" s="94" t="s">
        <v>263</v>
      </c>
      <c r="B28" s="88"/>
      <c r="C28" s="88"/>
      <c r="D28" s="115">
        <f>Lincoln!D34</f>
        <v>4681</v>
      </c>
      <c r="E28" s="115">
        <f>Lincoln!F34</f>
        <v>407450780.63999999</v>
      </c>
      <c r="F28" s="114">
        <f>Lincoln!G34</f>
        <v>40379.86</v>
      </c>
      <c r="G28" s="114">
        <f>Lincoln!H34</f>
        <v>685434.67330000002</v>
      </c>
      <c r="H28" s="114">
        <f>Lincoln!I34</f>
        <v>0</v>
      </c>
      <c r="I28" s="114">
        <f>Lincoln!J34</f>
        <v>33148.519999999997</v>
      </c>
      <c r="J28" s="114">
        <f>Lincoln!K34</f>
        <v>145.63</v>
      </c>
      <c r="K28" s="114">
        <f>Lincoln!L34</f>
        <v>692811.6433</v>
      </c>
      <c r="L28" s="114">
        <f>Lincoln!M34</f>
        <v>47862.71</v>
      </c>
      <c r="M28" s="114">
        <f>Lincoln!N34</f>
        <v>644948.93330000003</v>
      </c>
      <c r="N28" s="114">
        <f>Lincoln!O34</f>
        <v>0</v>
      </c>
      <c r="O28" s="114">
        <f>Lincoln!P34</f>
        <v>89721.45</v>
      </c>
      <c r="P28" s="114">
        <f>Lincoln!Q34</f>
        <v>555227.48329999996</v>
      </c>
    </row>
    <row r="29" spans="1:16" s="4" customFormat="1" ht="12">
      <c r="A29" s="94" t="s">
        <v>264</v>
      </c>
      <c r="B29" s="93"/>
      <c r="C29" s="93"/>
      <c r="D29" s="283">
        <f>'Lyon '!D37</f>
        <v>34069</v>
      </c>
      <c r="E29" s="283">
        <f>'Lyon '!F37</f>
        <v>3575677929.4941177</v>
      </c>
      <c r="F29" s="114">
        <f>'Lyon '!G37</f>
        <v>317745.52289999998</v>
      </c>
      <c r="G29" s="114">
        <f>'Lyon '!H37</f>
        <v>5843806.5627000006</v>
      </c>
      <c r="H29" s="114">
        <f>'Lyon '!I37</f>
        <v>0</v>
      </c>
      <c r="I29" s="114">
        <f>'Lyon '!J37</f>
        <v>82943.06</v>
      </c>
      <c r="J29" s="114">
        <f>'Lyon '!K37</f>
        <v>88.12</v>
      </c>
      <c r="K29" s="114">
        <f>'Lyon '!L37</f>
        <v>6078697.1456000004</v>
      </c>
      <c r="L29" s="114">
        <f>'Lyon '!M37</f>
        <v>1659514.2</v>
      </c>
      <c r="M29" s="114">
        <f>'Lyon '!N37</f>
        <v>4419182.9456000002</v>
      </c>
      <c r="N29" s="114">
        <f>'Lyon '!O37</f>
        <v>0</v>
      </c>
      <c r="O29" s="114">
        <f>'Lyon '!P37</f>
        <v>9990.9500000000007</v>
      </c>
      <c r="P29" s="114">
        <f>'Lyon '!Q37</f>
        <v>4409191.9956</v>
      </c>
    </row>
    <row r="30" spans="1:16" s="4" customFormat="1" ht="12">
      <c r="A30" s="94" t="s">
        <v>265</v>
      </c>
      <c r="B30" s="88"/>
      <c r="C30" s="88"/>
      <c r="D30" s="3">
        <f>Mineral!D24</f>
        <v>3596</v>
      </c>
      <c r="E30" s="3">
        <f>Mineral!F24</f>
        <v>246728027.68117645</v>
      </c>
      <c r="F30" s="114">
        <f>Mineral!G24</f>
        <v>118593.19352</v>
      </c>
      <c r="G30" s="114">
        <f>Mineral!H24</f>
        <v>243542.32016999999</v>
      </c>
      <c r="H30" s="114">
        <f>Mineral!I24</f>
        <v>0</v>
      </c>
      <c r="I30" s="114">
        <f>Mineral!J24</f>
        <v>62023.520000000004</v>
      </c>
      <c r="J30" s="114">
        <f>Mineral!K24</f>
        <v>22.81</v>
      </c>
      <c r="K30" s="114">
        <f>Mineral!L24</f>
        <v>300134.80368999997</v>
      </c>
      <c r="L30" s="114">
        <f>Mineral!M24</f>
        <v>10791.550000000001</v>
      </c>
      <c r="M30" s="114">
        <f>Mineral!N24</f>
        <v>289343.25369000004</v>
      </c>
      <c r="N30" s="114">
        <f>Mineral!O24</f>
        <v>0</v>
      </c>
      <c r="O30" s="114">
        <f>Mineral!P24</f>
        <v>41152.160000000003</v>
      </c>
      <c r="P30" s="114">
        <f>Mineral!Q24</f>
        <v>248191.09369000001</v>
      </c>
    </row>
    <row r="31" spans="1:16" s="4" customFormat="1" ht="12">
      <c r="A31" s="94" t="s">
        <v>266</v>
      </c>
      <c r="B31" s="88"/>
      <c r="C31" s="88"/>
      <c r="D31" s="3">
        <f>'Nye '!D37</f>
        <v>58339</v>
      </c>
      <c r="E31" s="3">
        <f>'Nye '!F37</f>
        <v>2524073747.8958821</v>
      </c>
      <c r="F31" s="114">
        <f>'Nye '!G37</f>
        <v>379486.9719</v>
      </c>
      <c r="G31" s="114">
        <f>'Nye '!H37</f>
        <v>4076627.5282999999</v>
      </c>
      <c r="H31" s="114">
        <f>'Nye '!I37</f>
        <v>0</v>
      </c>
      <c r="I31" s="114">
        <f>'Nye '!J37</f>
        <v>164702.63</v>
      </c>
      <c r="J31" s="114">
        <f>'Nye '!K37</f>
        <v>255.38</v>
      </c>
      <c r="K31" s="114">
        <f>'Nye '!L37</f>
        <v>4291667.2502000006</v>
      </c>
      <c r="L31" s="114">
        <f>'Nye '!M37</f>
        <v>810945.59000000008</v>
      </c>
      <c r="M31" s="114">
        <f>'Nye '!N37</f>
        <v>3480721.6602000003</v>
      </c>
      <c r="N31" s="114">
        <f>'Nye '!O37</f>
        <v>0</v>
      </c>
      <c r="O31" s="114">
        <f>'Nye '!P37</f>
        <v>76534.63</v>
      </c>
      <c r="P31" s="114">
        <f>'Nye '!Q37</f>
        <v>3404187.0302000004</v>
      </c>
    </row>
    <row r="32" spans="1:16" s="4" customFormat="1" ht="12">
      <c r="A32" s="94" t="s">
        <v>267</v>
      </c>
      <c r="B32" s="88"/>
      <c r="C32" s="88"/>
      <c r="D32" s="3">
        <f>Pershing!D26</f>
        <v>10681</v>
      </c>
      <c r="E32" s="3">
        <f>Pershing!F26</f>
        <v>643973840.86117649</v>
      </c>
      <c r="F32" s="114">
        <f>Pershing!G26</f>
        <v>24022.269999999997</v>
      </c>
      <c r="G32" s="114">
        <f>Pershing!H26</f>
        <v>1076805.6868000003</v>
      </c>
      <c r="H32" s="114">
        <f>Pershing!I26</f>
        <v>0</v>
      </c>
      <c r="I32" s="114">
        <f>Pershing!J26</f>
        <v>6035.28</v>
      </c>
      <c r="J32" s="114">
        <f>Pershing!K26</f>
        <v>25.31</v>
      </c>
      <c r="K32" s="114">
        <f>Pershing!L26</f>
        <v>1094817.9868000001</v>
      </c>
      <c r="L32" s="114">
        <f>Pershing!M26</f>
        <v>30580.25</v>
      </c>
      <c r="M32" s="114">
        <f>Pershing!N26</f>
        <v>1064237.7368000001</v>
      </c>
      <c r="N32" s="114">
        <f>Pershing!O26</f>
        <v>0</v>
      </c>
      <c r="O32" s="114">
        <f>Pershing!P26</f>
        <v>16354.29</v>
      </c>
      <c r="P32" s="114">
        <f>Pershing!Q26</f>
        <v>1047883.4468000002</v>
      </c>
    </row>
    <row r="33" spans="1:16" s="4" customFormat="1" ht="12">
      <c r="A33" s="94" t="s">
        <v>268</v>
      </c>
      <c r="B33" s="88"/>
      <c r="C33" s="88"/>
      <c r="D33" s="3">
        <f>Storey!D24</f>
        <v>4805</v>
      </c>
      <c r="E33" s="3">
        <f>Storey!F24</f>
        <v>5636417067.1741171</v>
      </c>
      <c r="F33" s="114">
        <f>Storey!G24</f>
        <v>2354205.6957999999</v>
      </c>
      <c r="G33" s="114">
        <f>Storey!H24</f>
        <v>7246111.5079000005</v>
      </c>
      <c r="H33" s="114">
        <f>Storey!I24</f>
        <v>0</v>
      </c>
      <c r="I33" s="114">
        <f>Storey!J24</f>
        <v>18345.72</v>
      </c>
      <c r="J33" s="114">
        <f>Storey!K24</f>
        <v>3379.59</v>
      </c>
      <c r="K33" s="114">
        <f>Storey!L24</f>
        <v>9585351.0737000015</v>
      </c>
      <c r="L33" s="114">
        <f>Storey!M24</f>
        <v>392930.76</v>
      </c>
      <c r="M33" s="114">
        <f>Storey!N24</f>
        <v>9192420.3136999998</v>
      </c>
      <c r="N33" s="114">
        <f>Storey!O24</f>
        <v>0</v>
      </c>
      <c r="O33" s="114">
        <f>Storey!P24</f>
        <v>0</v>
      </c>
      <c r="P33" s="114">
        <f>Storey!Q24</f>
        <v>9192420.3136999998</v>
      </c>
    </row>
    <row r="34" spans="1:16" s="4" customFormat="1" ht="12">
      <c r="A34" s="94" t="s">
        <v>269</v>
      </c>
      <c r="B34" s="88"/>
      <c r="C34" s="88"/>
      <c r="D34" s="3">
        <f>Washoe!D38</f>
        <v>192380</v>
      </c>
      <c r="E34" s="3">
        <f>Washoe!F38</f>
        <v>36303710751.791176</v>
      </c>
      <c r="F34" s="114">
        <f>Washoe!G38</f>
        <v>2839185.7211000002</v>
      </c>
      <c r="G34" s="114">
        <f>Washoe!H38</f>
        <v>58920460.101499997</v>
      </c>
      <c r="H34" s="114">
        <f>Washoe!I38</f>
        <v>0</v>
      </c>
      <c r="I34" s="114">
        <f>Washoe!J38</f>
        <v>6520901.8799999999</v>
      </c>
      <c r="J34" s="114">
        <f>Washoe!K38</f>
        <v>269.48</v>
      </c>
      <c r="K34" s="114">
        <f>Washoe!L38</f>
        <v>55239013.422600001</v>
      </c>
      <c r="L34" s="114">
        <f>Washoe!M38</f>
        <v>10672057.68</v>
      </c>
      <c r="M34" s="114">
        <f>Washoe!N38</f>
        <v>44566955.742600001</v>
      </c>
      <c r="N34" s="114">
        <f>Washoe!O38</f>
        <v>1299752.1599999999</v>
      </c>
      <c r="O34" s="114">
        <f>Washoe!P38</f>
        <v>13745.36</v>
      </c>
      <c r="P34" s="114">
        <f>Washoe!Q38</f>
        <v>43253458.222600006</v>
      </c>
    </row>
    <row r="35" spans="1:16" s="4" customFormat="1" ht="12">
      <c r="A35" s="94" t="s">
        <v>270</v>
      </c>
      <c r="B35" s="88"/>
      <c r="C35" s="88"/>
      <c r="D35" s="242">
        <f>'White Pine'!D24</f>
        <v>7727</v>
      </c>
      <c r="E35" s="242">
        <f>'White Pine'!F24</f>
        <v>599347036.22176468</v>
      </c>
      <c r="F35" s="243">
        <f>'White Pine'!G24</f>
        <v>154129.90330000001</v>
      </c>
      <c r="G35" s="243">
        <f>'White Pine'!H24</f>
        <v>868479.59180000005</v>
      </c>
      <c r="H35" s="243">
        <f>'White Pine'!I24</f>
        <v>0</v>
      </c>
      <c r="I35" s="243">
        <f>'White Pine'!J24</f>
        <v>3642.0299999999997</v>
      </c>
      <c r="J35" s="243">
        <f>'White Pine'!K24</f>
        <v>58.22</v>
      </c>
      <c r="K35" s="243">
        <f>'White Pine'!L24</f>
        <v>1019025.6851</v>
      </c>
      <c r="L35" s="243">
        <f>'White Pine'!M24</f>
        <v>118264.06999999999</v>
      </c>
      <c r="M35" s="243">
        <f>'White Pine'!N24</f>
        <v>900761.61509999994</v>
      </c>
      <c r="N35" s="243">
        <f>'White Pine'!O24</f>
        <v>8997.35</v>
      </c>
      <c r="O35" s="243">
        <f>'White Pine'!P24</f>
        <v>8905.2800000000007</v>
      </c>
      <c r="P35" s="243">
        <f>'White Pine'!Q24</f>
        <v>882858.98510000005</v>
      </c>
    </row>
    <row r="36" spans="1:16" s="4" customFormat="1" ht="12">
      <c r="A36" s="94"/>
      <c r="B36" s="91"/>
      <c r="C36" s="91"/>
      <c r="D36" s="44"/>
      <c r="E36" s="4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</row>
    <row r="37" spans="1:16" s="4" customFormat="1" ht="12.75" thickBot="1">
      <c r="A37" s="94" t="s">
        <v>271</v>
      </c>
      <c r="B37" s="88"/>
      <c r="C37" s="88"/>
      <c r="D37" s="244">
        <f>SUM(D19:D35)</f>
        <v>1310897</v>
      </c>
      <c r="E37" s="244">
        <f>SUM(E19:E35)</f>
        <v>246332297679.79352</v>
      </c>
      <c r="F37" s="245">
        <f>SUM(F19:F35)</f>
        <v>14793264.962019999</v>
      </c>
      <c r="G37" s="245">
        <f t="shared" ref="G37:P37" si="1">SUM(G19:G35)</f>
        <v>392222934.06576985</v>
      </c>
      <c r="H37" s="245">
        <f t="shared" si="1"/>
        <v>0</v>
      </c>
      <c r="I37" s="245">
        <f t="shared" si="1"/>
        <v>36026372.269999996</v>
      </c>
      <c r="J37" s="245">
        <f t="shared" si="1"/>
        <v>4583.0900000000011</v>
      </c>
      <c r="K37" s="245">
        <f t="shared" si="1"/>
        <v>370994409.84779006</v>
      </c>
      <c r="L37" s="245">
        <f t="shared" si="1"/>
        <v>70524863.419999987</v>
      </c>
      <c r="M37" s="245">
        <f t="shared" si="1"/>
        <v>300469546.42778999</v>
      </c>
      <c r="N37" s="245">
        <f t="shared" si="1"/>
        <v>2032561.53</v>
      </c>
      <c r="O37" s="245">
        <f t="shared" si="1"/>
        <v>537264.03000000014</v>
      </c>
      <c r="P37" s="245">
        <f t="shared" si="1"/>
        <v>297899720.86778992</v>
      </c>
    </row>
    <row r="38" spans="1:16" s="4" customFormat="1" ht="12.75" thickTop="1">
      <c r="A38" s="94"/>
      <c r="B38" s="93"/>
      <c r="C38" s="93"/>
      <c r="D38" s="121"/>
      <c r="E38" s="121"/>
      <c r="F38" s="122"/>
      <c r="G38" s="114"/>
      <c r="H38" s="114"/>
      <c r="I38" s="114"/>
      <c r="J38" s="114"/>
      <c r="K38" s="114"/>
      <c r="L38" s="114"/>
      <c r="M38" s="114"/>
      <c r="N38" s="114"/>
      <c r="O38" s="114"/>
      <c r="P38" s="114"/>
    </row>
    <row r="39" spans="1:16" s="4" customFormat="1" ht="12">
      <c r="A39" s="119"/>
      <c r="B39" s="88"/>
      <c r="C39" s="88"/>
      <c r="D39" s="3"/>
      <c r="E39" s="3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</row>
    <row r="40" spans="1:16" s="4" customFormat="1" ht="12">
      <c r="A40" s="119"/>
      <c r="B40" s="88"/>
      <c r="C40" s="88"/>
      <c r="D40" s="3"/>
      <c r="E40" s="3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>
        <f>+P37-P14</f>
        <v>-146983.10000002384</v>
      </c>
    </row>
    <row r="41" spans="1:16" s="4" customFormat="1" ht="12">
      <c r="A41" s="119"/>
      <c r="B41" s="88"/>
      <c r="C41" s="88"/>
      <c r="D41" s="3"/>
      <c r="E41" s="3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</row>
    <row r="42" spans="1:16" s="4" customFormat="1" ht="12">
      <c r="A42" s="119"/>
      <c r="B42" s="88"/>
      <c r="C42" s="88"/>
      <c r="D42" s="3"/>
      <c r="E42" s="3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</row>
    <row r="43" spans="1:16" s="4" customFormat="1" ht="12">
      <c r="A43" s="119"/>
      <c r="B43" s="88"/>
      <c r="C43" s="88"/>
      <c r="D43" s="3"/>
      <c r="E43" s="3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</row>
    <row r="44" spans="1:16" s="4" customFormat="1" ht="12">
      <c r="A44" s="89"/>
      <c r="B44" s="91"/>
      <c r="C44" s="91"/>
      <c r="D44" s="44"/>
      <c r="E44" s="44"/>
      <c r="F44" s="120"/>
      <c r="G44" s="114"/>
      <c r="H44" s="114"/>
      <c r="I44" s="114"/>
      <c r="J44" s="114"/>
      <c r="K44" s="114"/>
      <c r="L44" s="114"/>
      <c r="M44" s="114"/>
      <c r="N44" s="114"/>
      <c r="O44" s="114"/>
      <c r="P44" s="114"/>
    </row>
    <row r="45" spans="1:16" s="4" customFormat="1" ht="12">
      <c r="A45" s="119"/>
      <c r="B45" s="88"/>
      <c r="C45" s="88"/>
      <c r="D45" s="3"/>
      <c r="E45" s="3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</row>
    <row r="46" spans="1:16" s="4" customFormat="1" ht="12">
      <c r="A46" s="94"/>
      <c r="B46" s="93"/>
      <c r="C46" s="93"/>
      <c r="D46" s="121"/>
      <c r="E46" s="121"/>
      <c r="F46" s="122"/>
      <c r="G46" s="114"/>
      <c r="H46" s="114"/>
      <c r="I46" s="114"/>
      <c r="J46" s="114"/>
      <c r="K46" s="114"/>
      <c r="L46" s="114"/>
      <c r="M46" s="114"/>
      <c r="N46" s="114"/>
      <c r="O46" s="114"/>
      <c r="P46" s="114"/>
    </row>
    <row r="47" spans="1:16" s="4" customFormat="1" ht="12">
      <c r="A47" s="119"/>
      <c r="B47" s="88"/>
      <c r="C47" s="88"/>
      <c r="D47" s="3"/>
      <c r="E47" s="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</row>
    <row r="48" spans="1:16" s="4" customFormat="1" ht="12">
      <c r="A48" s="119"/>
      <c r="B48" s="88"/>
      <c r="C48" s="88"/>
      <c r="D48" s="3"/>
      <c r="E48" s="3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</row>
    <row r="49" spans="1:16" s="4" customFormat="1" ht="12">
      <c r="A49" s="119"/>
      <c r="B49" s="88"/>
      <c r="C49" s="88"/>
      <c r="D49" s="3"/>
      <c r="E49" s="3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</row>
    <row r="50" spans="1:16" s="4" customFormat="1" ht="12">
      <c r="A50" s="119"/>
      <c r="B50" s="88"/>
      <c r="C50" s="88"/>
      <c r="D50" s="3"/>
      <c r="E50" s="3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</row>
    <row r="51" spans="1:16" s="4" customFormat="1" ht="12">
      <c r="A51" s="119"/>
      <c r="B51" s="88"/>
      <c r="C51" s="88"/>
      <c r="D51" s="3"/>
      <c r="E51" s="3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</row>
    <row r="52" spans="1:16" s="4" customFormat="1" ht="12">
      <c r="A52" s="89"/>
      <c r="B52" s="91"/>
      <c r="C52" s="91"/>
      <c r="D52" s="44"/>
      <c r="E52" s="44"/>
      <c r="F52" s="120"/>
      <c r="G52" s="114"/>
      <c r="H52" s="114"/>
      <c r="I52" s="114"/>
      <c r="J52" s="114"/>
      <c r="K52" s="114"/>
      <c r="L52" s="114"/>
      <c r="M52" s="114"/>
      <c r="N52" s="114"/>
      <c r="O52" s="114"/>
      <c r="P52" s="114"/>
    </row>
    <row r="53" spans="1:16" s="4" customFormat="1" ht="12">
      <c r="A53" s="119"/>
      <c r="B53" s="88"/>
      <c r="C53" s="88"/>
      <c r="D53" s="3"/>
      <c r="E53" s="3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</row>
    <row r="54" spans="1:16" s="4" customFormat="1" ht="12">
      <c r="A54" s="94"/>
      <c r="B54" s="93"/>
      <c r="C54" s="93"/>
      <c r="D54" s="121"/>
      <c r="E54" s="121"/>
      <c r="F54" s="122"/>
      <c r="G54" s="114"/>
      <c r="H54" s="114"/>
      <c r="I54" s="114"/>
      <c r="J54" s="114"/>
      <c r="K54" s="114"/>
      <c r="L54" s="114"/>
      <c r="M54" s="114"/>
      <c r="N54" s="114"/>
      <c r="O54" s="114"/>
      <c r="P54" s="114"/>
    </row>
    <row r="55" spans="1:16" s="4" customFormat="1" ht="12">
      <c r="A55" s="119"/>
      <c r="B55" s="88"/>
      <c r="C55" s="88"/>
      <c r="D55" s="3"/>
      <c r="E55" s="3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</row>
    <row r="56" spans="1:16" s="4" customFormat="1" ht="12">
      <c r="A56" s="119"/>
      <c r="B56" s="88"/>
      <c r="C56" s="88"/>
      <c r="D56" s="3"/>
      <c r="E56" s="3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</row>
    <row r="57" spans="1:16" s="4" customFormat="1" ht="12">
      <c r="A57" s="119"/>
      <c r="B57" s="88"/>
      <c r="C57" s="88"/>
      <c r="D57" s="3"/>
      <c r="E57" s="3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</row>
    <row r="58" spans="1:16" s="4" customFormat="1" ht="12">
      <c r="A58" s="119"/>
      <c r="B58" s="88"/>
      <c r="C58" s="88"/>
      <c r="D58" s="3"/>
      <c r="E58" s="3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</row>
    <row r="59" spans="1:16" s="4" customFormat="1" ht="12">
      <c r="A59" s="119"/>
      <c r="B59" s="88"/>
      <c r="C59" s="88"/>
      <c r="D59" s="3"/>
      <c r="E59" s="3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</row>
    <row r="60" spans="1:16" s="4" customFormat="1" ht="12">
      <c r="A60" s="89"/>
      <c r="B60" s="91"/>
      <c r="C60" s="91"/>
      <c r="D60" s="44"/>
      <c r="E60" s="44"/>
      <c r="F60" s="120"/>
      <c r="G60" s="114"/>
      <c r="H60" s="114"/>
      <c r="I60" s="114"/>
      <c r="J60" s="114"/>
      <c r="K60" s="114"/>
      <c r="L60" s="114"/>
      <c r="M60" s="114"/>
      <c r="N60" s="114"/>
      <c r="O60" s="114"/>
      <c r="P60" s="114"/>
    </row>
    <row r="61" spans="1:16" s="4" customFormat="1" ht="12">
      <c r="A61" s="119"/>
      <c r="B61" s="88"/>
      <c r="C61" s="88"/>
      <c r="D61" s="3"/>
      <c r="E61" s="3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</row>
    <row r="62" spans="1:16" s="4" customFormat="1" ht="12">
      <c r="A62" s="94"/>
      <c r="B62" s="93"/>
      <c r="C62" s="93"/>
      <c r="D62" s="121"/>
      <c r="E62" s="121"/>
      <c r="F62" s="122"/>
      <c r="G62" s="114"/>
      <c r="H62" s="114"/>
      <c r="I62" s="114"/>
      <c r="J62" s="114"/>
      <c r="K62" s="114"/>
      <c r="L62" s="114"/>
      <c r="M62" s="114"/>
      <c r="N62" s="114"/>
      <c r="O62" s="114"/>
      <c r="P62" s="114"/>
    </row>
    <row r="63" spans="1:16" s="4" customFormat="1" ht="12">
      <c r="A63" s="119"/>
      <c r="B63" s="88"/>
      <c r="C63" s="88"/>
      <c r="D63" s="3"/>
      <c r="E63" s="3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</row>
    <row r="64" spans="1:16" s="4" customFormat="1" ht="12">
      <c r="A64" s="119"/>
      <c r="B64" s="88"/>
      <c r="C64" s="88"/>
      <c r="D64" s="3"/>
      <c r="E64" s="3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</row>
    <row r="65" spans="1:16" s="4" customFormat="1" ht="12">
      <c r="A65" s="119"/>
      <c r="B65" s="88"/>
      <c r="C65" s="88"/>
      <c r="D65" s="3"/>
      <c r="E65" s="3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</row>
    <row r="66" spans="1:16" s="4" customFormat="1" ht="12">
      <c r="A66" s="119"/>
      <c r="B66" s="88"/>
      <c r="C66" s="88"/>
      <c r="D66" s="3"/>
      <c r="E66" s="3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</row>
    <row r="67" spans="1:16" s="4" customFormat="1" ht="12">
      <c r="A67" s="119"/>
      <c r="B67" s="88"/>
      <c r="C67" s="88"/>
      <c r="D67" s="3"/>
      <c r="E67" s="3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</row>
    <row r="68" spans="1:16" s="4" customFormat="1" ht="12">
      <c r="A68" s="119"/>
      <c r="B68" s="88"/>
      <c r="C68" s="88"/>
      <c r="D68" s="3"/>
      <c r="E68" s="3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</row>
    <row r="69" spans="1:16" s="4" customFormat="1" ht="12">
      <c r="A69" s="89"/>
      <c r="B69" s="90"/>
      <c r="C69" s="90"/>
      <c r="D69" s="45"/>
      <c r="E69" s="45"/>
      <c r="F69" s="123"/>
      <c r="G69" s="114"/>
      <c r="H69" s="114"/>
      <c r="I69" s="114"/>
      <c r="J69" s="114"/>
      <c r="K69" s="114"/>
      <c r="L69" s="114"/>
      <c r="M69" s="114"/>
      <c r="N69" s="114"/>
      <c r="O69" s="114"/>
      <c r="P69" s="114"/>
    </row>
    <row r="70" spans="1:16" s="4" customFormat="1" ht="12">
      <c r="A70" s="119"/>
      <c r="B70" s="88"/>
      <c r="C70" s="88"/>
      <c r="D70" s="3"/>
      <c r="E70" s="3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</row>
    <row r="71" spans="1:16" s="4" customFormat="1" ht="12">
      <c r="A71" s="119"/>
      <c r="B71" s="88"/>
      <c r="C71" s="88"/>
      <c r="D71" s="3"/>
      <c r="E71" s="3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</row>
    <row r="72" spans="1:16" s="4" customFormat="1" ht="12">
      <c r="A72" s="94"/>
      <c r="B72" s="46"/>
      <c r="C72" s="46"/>
      <c r="D72" s="44"/>
      <c r="E72" s="44"/>
      <c r="F72" s="120"/>
      <c r="G72" s="114"/>
      <c r="H72" s="114"/>
      <c r="I72" s="114"/>
      <c r="J72" s="114"/>
      <c r="K72" s="114"/>
      <c r="L72" s="114"/>
      <c r="M72" s="114"/>
      <c r="N72" s="114"/>
      <c r="O72" s="114"/>
      <c r="P72" s="114"/>
    </row>
    <row r="73" spans="1:16" s="4" customFormat="1" ht="12">
      <c r="A73" s="94"/>
      <c r="B73" s="88"/>
      <c r="C73" s="88"/>
      <c r="D73" s="3"/>
      <c r="E73" s="3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</row>
    <row r="74" spans="1:16" s="4" customFormat="1" ht="12">
      <c r="A74" s="94"/>
      <c r="B74" s="93"/>
      <c r="C74" s="93"/>
      <c r="D74" s="121"/>
      <c r="E74" s="121"/>
      <c r="F74" s="122"/>
      <c r="G74" s="114"/>
      <c r="H74" s="114"/>
      <c r="I74" s="114"/>
      <c r="J74" s="114"/>
      <c r="K74" s="114"/>
      <c r="L74" s="114"/>
      <c r="M74" s="114"/>
      <c r="N74" s="114"/>
      <c r="O74" s="114"/>
      <c r="P74" s="114"/>
    </row>
    <row r="75" spans="1:16" s="4" customFormat="1" ht="12">
      <c r="A75" s="119"/>
      <c r="B75" s="88"/>
      <c r="C75" s="88"/>
      <c r="D75" s="3"/>
      <c r="E75" s="3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</row>
    <row r="76" spans="1:16" s="4" customFormat="1" ht="12">
      <c r="A76" s="119"/>
      <c r="B76" s="88"/>
      <c r="C76" s="88"/>
      <c r="D76" s="3"/>
      <c r="E76" s="3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</row>
    <row r="77" spans="1:16" s="4" customFormat="1" ht="12">
      <c r="A77" s="119"/>
      <c r="B77" s="88"/>
      <c r="C77" s="88"/>
      <c r="D77" s="3"/>
      <c r="E77" s="3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</row>
    <row r="78" spans="1:16" s="4" customFormat="1" ht="12">
      <c r="A78" s="119"/>
      <c r="B78" s="88"/>
      <c r="C78" s="88"/>
      <c r="D78" s="3"/>
      <c r="E78" s="3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</row>
    <row r="79" spans="1:16" s="4" customFormat="1" ht="12">
      <c r="A79" s="119"/>
      <c r="B79" s="88"/>
      <c r="C79" s="88"/>
      <c r="D79" s="3"/>
      <c r="E79" s="3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</row>
    <row r="80" spans="1:16" s="4" customFormat="1" ht="12">
      <c r="A80" s="119"/>
      <c r="B80" s="88"/>
      <c r="C80" s="88"/>
      <c r="D80" s="3"/>
      <c r="E80" s="3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</row>
    <row r="81" spans="1:16" s="4" customFormat="1" ht="12">
      <c r="A81" s="94"/>
      <c r="B81" s="91"/>
      <c r="C81" s="91"/>
      <c r="D81" s="44"/>
      <c r="E81" s="44"/>
      <c r="F81" s="120"/>
      <c r="G81" s="114"/>
      <c r="H81" s="114"/>
      <c r="I81" s="114"/>
      <c r="J81" s="114"/>
      <c r="K81" s="114"/>
      <c r="L81" s="114"/>
      <c r="M81" s="114"/>
      <c r="N81" s="114"/>
      <c r="O81" s="114"/>
      <c r="P81" s="114"/>
    </row>
    <row r="82" spans="1:16" s="4" customFormat="1" ht="12">
      <c r="A82" s="119"/>
      <c r="B82" s="88"/>
      <c r="C82" s="88"/>
      <c r="D82" s="3"/>
      <c r="E82" s="3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</row>
    <row r="83" spans="1:16" s="4" customFormat="1" ht="12">
      <c r="A83" s="94"/>
      <c r="B83" s="93"/>
      <c r="C83" s="93"/>
      <c r="D83" s="121"/>
      <c r="E83" s="121"/>
      <c r="F83" s="122"/>
      <c r="G83" s="114"/>
      <c r="H83" s="114"/>
      <c r="I83" s="114"/>
      <c r="J83" s="114"/>
      <c r="K83" s="114"/>
      <c r="L83" s="114"/>
      <c r="M83" s="114"/>
      <c r="N83" s="114"/>
      <c r="O83" s="114"/>
      <c r="P83" s="114"/>
    </row>
    <row r="84" spans="1:16" s="4" customFormat="1" ht="12">
      <c r="A84" s="119"/>
      <c r="B84" s="88"/>
      <c r="C84" s="88"/>
      <c r="D84" s="3"/>
      <c r="E84" s="3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</row>
    <row r="85" spans="1:16" s="4" customFormat="1" ht="12">
      <c r="A85" s="119"/>
      <c r="B85" s="88"/>
      <c r="C85" s="88"/>
      <c r="D85" s="3"/>
      <c r="E85" s="3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</row>
    <row r="86" spans="1:16" s="4" customFormat="1" ht="12">
      <c r="A86" s="119"/>
      <c r="B86" s="88"/>
      <c r="C86" s="88"/>
      <c r="D86" s="3"/>
      <c r="E86" s="3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</row>
    <row r="87" spans="1:16" s="4" customFormat="1" ht="12">
      <c r="A87" s="119"/>
      <c r="B87" s="88"/>
      <c r="C87" s="88"/>
      <c r="D87" s="3"/>
      <c r="E87" s="3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</row>
    <row r="88" spans="1:16" s="4" customFormat="1" ht="12">
      <c r="A88" s="119"/>
      <c r="B88" s="88"/>
      <c r="C88" s="88"/>
      <c r="D88" s="3"/>
      <c r="E88" s="3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</row>
    <row r="89" spans="1:16" s="4" customFormat="1" ht="12">
      <c r="A89" s="89"/>
      <c r="B89" s="91"/>
      <c r="C89" s="91"/>
      <c r="D89" s="44"/>
      <c r="E89" s="44"/>
      <c r="F89" s="120"/>
      <c r="G89" s="114"/>
      <c r="H89" s="114"/>
      <c r="I89" s="114"/>
      <c r="J89" s="114"/>
      <c r="K89" s="114"/>
      <c r="L89" s="114"/>
      <c r="M89" s="114"/>
      <c r="N89" s="114"/>
      <c r="O89" s="114"/>
      <c r="P89" s="114"/>
    </row>
    <row r="90" spans="1:16" s="4" customFormat="1" ht="12">
      <c r="A90" s="119"/>
      <c r="B90" s="88"/>
      <c r="C90" s="88"/>
      <c r="D90" s="3"/>
      <c r="E90" s="3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</row>
    <row r="91" spans="1:16" s="4" customFormat="1" ht="12">
      <c r="A91" s="94"/>
      <c r="B91" s="93"/>
      <c r="C91" s="93"/>
      <c r="D91" s="121"/>
      <c r="E91" s="121"/>
      <c r="F91" s="122"/>
      <c r="G91" s="114"/>
      <c r="H91" s="114"/>
      <c r="I91" s="114"/>
      <c r="J91" s="114"/>
      <c r="K91" s="114"/>
      <c r="L91" s="114"/>
      <c r="M91" s="114"/>
      <c r="N91" s="114"/>
      <c r="O91" s="114"/>
      <c r="P91" s="114"/>
    </row>
    <row r="92" spans="1:16" s="4" customFormat="1" ht="12">
      <c r="A92" s="119"/>
      <c r="B92" s="88"/>
      <c r="C92" s="88"/>
      <c r="D92" s="3"/>
      <c r="E92" s="3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</row>
    <row r="93" spans="1:16" s="4" customFormat="1" ht="12">
      <c r="A93" s="119"/>
      <c r="B93" s="88"/>
      <c r="C93" s="88"/>
      <c r="D93" s="3"/>
      <c r="E93" s="3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</row>
    <row r="94" spans="1:16" s="4" customFormat="1" ht="12">
      <c r="A94" s="119"/>
      <c r="B94" s="88"/>
      <c r="C94" s="88"/>
      <c r="D94" s="3"/>
      <c r="E94" s="3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</row>
    <row r="95" spans="1:16" s="4" customFormat="1" ht="12">
      <c r="A95" s="119"/>
      <c r="B95" s="88"/>
      <c r="C95" s="88"/>
      <c r="D95" s="3"/>
      <c r="E95" s="3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</row>
    <row r="96" spans="1:16" s="4" customFormat="1" ht="12">
      <c r="A96" s="119"/>
      <c r="B96" s="88"/>
      <c r="C96" s="88"/>
      <c r="D96" s="3"/>
      <c r="E96" s="3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</row>
    <row r="97" spans="1:16" s="4" customFormat="1" ht="12">
      <c r="A97" s="89"/>
      <c r="B97" s="91"/>
      <c r="C97" s="91"/>
      <c r="D97" s="44"/>
      <c r="E97" s="44"/>
      <c r="F97" s="120"/>
      <c r="G97" s="114"/>
      <c r="H97" s="114"/>
      <c r="I97" s="114"/>
      <c r="J97" s="114"/>
      <c r="K97" s="114"/>
      <c r="L97" s="114"/>
      <c r="M97" s="114"/>
      <c r="N97" s="114"/>
      <c r="O97" s="114"/>
      <c r="P97" s="114"/>
    </row>
    <row r="98" spans="1:16" s="4" customFormat="1" ht="12">
      <c r="A98" s="119"/>
      <c r="B98" s="88"/>
      <c r="C98" s="88"/>
      <c r="D98" s="3"/>
      <c r="E98" s="3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</row>
    <row r="99" spans="1:16" s="4" customFormat="1" ht="12">
      <c r="A99" s="94"/>
      <c r="B99" s="93"/>
      <c r="C99" s="93"/>
      <c r="D99" s="121"/>
      <c r="E99" s="121"/>
      <c r="F99" s="122"/>
      <c r="G99" s="114"/>
      <c r="H99" s="114"/>
      <c r="I99" s="114"/>
      <c r="J99" s="114"/>
      <c r="K99" s="114"/>
      <c r="L99" s="114"/>
      <c r="M99" s="114"/>
      <c r="N99" s="114"/>
      <c r="O99" s="114"/>
      <c r="P99" s="114"/>
    </row>
    <row r="100" spans="1:16" s="4" customFormat="1" ht="12">
      <c r="A100" s="119"/>
      <c r="B100" s="88"/>
      <c r="C100" s="88"/>
      <c r="D100" s="3"/>
      <c r="E100" s="3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</row>
    <row r="101" spans="1:16" s="4" customFormat="1" ht="12">
      <c r="A101" s="119"/>
      <c r="B101" s="88"/>
      <c r="C101" s="88"/>
      <c r="D101" s="3"/>
      <c r="E101" s="3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</row>
    <row r="102" spans="1:16" s="4" customFormat="1" ht="12">
      <c r="A102" s="119"/>
      <c r="B102" s="88"/>
      <c r="C102" s="88"/>
      <c r="D102" s="3"/>
      <c r="E102" s="3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</row>
    <row r="103" spans="1:16" s="4" customFormat="1" ht="12">
      <c r="A103" s="119"/>
      <c r="B103" s="88"/>
      <c r="C103" s="88"/>
      <c r="D103" s="3"/>
      <c r="E103" s="3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</row>
    <row r="104" spans="1:16" s="4" customFormat="1" ht="12">
      <c r="A104" s="119"/>
      <c r="B104" s="88"/>
      <c r="C104" s="88"/>
      <c r="D104" s="3"/>
      <c r="E104" s="3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</row>
    <row r="105" spans="1:16" s="4" customFormat="1" ht="12">
      <c r="A105" s="89"/>
      <c r="B105" s="91"/>
      <c r="C105" s="91"/>
      <c r="D105" s="44"/>
      <c r="E105" s="44"/>
      <c r="F105" s="120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</row>
    <row r="106" spans="1:16" s="4" customFormat="1" ht="12">
      <c r="A106" s="119"/>
      <c r="B106" s="88"/>
      <c r="C106" s="88"/>
      <c r="D106" s="3"/>
      <c r="E106" s="3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</row>
    <row r="107" spans="1:16" s="4" customFormat="1" ht="12">
      <c r="A107" s="94"/>
      <c r="B107" s="93"/>
      <c r="C107" s="93"/>
      <c r="D107" s="121"/>
      <c r="E107" s="121"/>
      <c r="F107" s="122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</row>
    <row r="108" spans="1:16" s="4" customFormat="1" ht="12">
      <c r="A108" s="119"/>
      <c r="B108" s="88"/>
      <c r="C108" s="88"/>
      <c r="D108" s="3"/>
      <c r="E108" s="3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</row>
    <row r="109" spans="1:16" s="4" customFormat="1" ht="12">
      <c r="A109" s="119"/>
      <c r="B109" s="88"/>
      <c r="C109" s="88"/>
      <c r="D109" s="3"/>
      <c r="E109" s="3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</row>
    <row r="110" spans="1:16" s="4" customFormat="1" ht="12">
      <c r="A110" s="119"/>
      <c r="B110" s="88"/>
      <c r="C110" s="88"/>
      <c r="D110" s="3"/>
      <c r="E110" s="3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</row>
    <row r="111" spans="1:16" s="4" customFormat="1" ht="12">
      <c r="A111" s="119"/>
      <c r="B111" s="88"/>
      <c r="C111" s="88"/>
      <c r="D111" s="3"/>
      <c r="E111" s="3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</row>
    <row r="112" spans="1:16" s="4" customFormat="1" ht="12">
      <c r="A112" s="119"/>
      <c r="B112" s="88"/>
      <c r="C112" s="88"/>
      <c r="D112" s="3"/>
      <c r="E112" s="3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</row>
    <row r="113" spans="1:16" s="4" customFormat="1" ht="12">
      <c r="A113" s="119"/>
      <c r="B113" s="88"/>
      <c r="C113" s="88"/>
      <c r="D113" s="3"/>
      <c r="E113" s="3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</row>
    <row r="114" spans="1:16" s="4" customFormat="1" ht="12">
      <c r="A114" s="89"/>
      <c r="B114" s="90"/>
      <c r="C114" s="90"/>
      <c r="D114" s="45"/>
      <c r="E114" s="45"/>
      <c r="F114" s="123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</row>
    <row r="115" spans="1:16" s="4" customFormat="1" ht="12">
      <c r="A115" s="119"/>
      <c r="B115" s="88"/>
      <c r="C115" s="88"/>
      <c r="D115" s="3"/>
      <c r="E115" s="3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</row>
    <row r="116" spans="1:16" s="4" customFormat="1" ht="12">
      <c r="A116" s="119"/>
      <c r="B116" s="88"/>
      <c r="C116" s="88"/>
      <c r="D116" s="3"/>
      <c r="E116" s="3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</row>
    <row r="117" spans="1:16" s="4" customFormat="1" ht="12">
      <c r="A117" s="94"/>
      <c r="B117" s="46"/>
      <c r="C117" s="46"/>
      <c r="D117" s="44"/>
      <c r="E117" s="44"/>
      <c r="F117" s="120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</row>
    <row r="118" spans="1:16" s="4" customFormat="1" ht="12">
      <c r="A118" s="94"/>
      <c r="B118" s="88"/>
      <c r="C118" s="88"/>
      <c r="D118" s="3"/>
      <c r="E118" s="3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</row>
    <row r="119" spans="1:16" s="4" customFormat="1" ht="12">
      <c r="A119" s="94"/>
      <c r="B119" s="93"/>
      <c r="C119" s="93"/>
      <c r="D119" s="121"/>
      <c r="E119" s="121"/>
      <c r="F119" s="122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</row>
    <row r="120" spans="1:16" s="4" customFormat="1" ht="12">
      <c r="A120" s="119"/>
      <c r="B120" s="88"/>
      <c r="C120" s="88"/>
      <c r="D120" s="3"/>
      <c r="E120" s="3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</row>
    <row r="121" spans="1:16" s="4" customFormat="1" ht="12">
      <c r="A121" s="119"/>
      <c r="B121" s="88"/>
      <c r="C121" s="88"/>
      <c r="D121" s="3"/>
      <c r="E121" s="3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</row>
    <row r="122" spans="1:16" s="4" customFormat="1" ht="12">
      <c r="A122" s="119"/>
      <c r="B122" s="88"/>
      <c r="C122" s="88"/>
      <c r="D122" s="3"/>
      <c r="E122" s="3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</row>
    <row r="123" spans="1:16" s="4" customFormat="1" ht="12">
      <c r="A123" s="119"/>
      <c r="B123" s="88"/>
      <c r="C123" s="88"/>
      <c r="D123" s="3"/>
      <c r="E123" s="3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</row>
    <row r="124" spans="1:16" s="4" customFormat="1" ht="12">
      <c r="A124" s="119"/>
      <c r="B124" s="88"/>
      <c r="C124" s="88"/>
      <c r="D124" s="3"/>
      <c r="E124" s="3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</row>
    <row r="125" spans="1:16" s="4" customFormat="1" ht="12">
      <c r="A125" s="119"/>
      <c r="B125" s="88"/>
      <c r="C125" s="88"/>
      <c r="D125" s="3"/>
      <c r="E125" s="3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</row>
    <row r="126" spans="1:16" s="4" customFormat="1" ht="12">
      <c r="A126" s="94"/>
      <c r="B126" s="91"/>
      <c r="C126" s="91"/>
      <c r="D126" s="44"/>
      <c r="E126" s="44"/>
      <c r="F126" s="120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</row>
    <row r="127" spans="1:16" s="4" customFormat="1" ht="12">
      <c r="A127" s="119"/>
      <c r="B127" s="88"/>
      <c r="C127" s="88"/>
      <c r="D127" s="3"/>
      <c r="E127" s="3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</row>
    <row r="128" spans="1:16" s="4" customFormat="1" ht="12">
      <c r="A128" s="94"/>
      <c r="B128" s="93"/>
      <c r="C128" s="93"/>
      <c r="D128" s="121"/>
      <c r="E128" s="121"/>
      <c r="F128" s="122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</row>
    <row r="129" spans="1:16" s="4" customFormat="1" ht="12">
      <c r="A129" s="119"/>
      <c r="B129" s="88"/>
      <c r="C129" s="88"/>
      <c r="D129" s="3"/>
      <c r="E129" s="3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</row>
    <row r="130" spans="1:16" s="4" customFormat="1" ht="12">
      <c r="A130" s="119"/>
      <c r="B130" s="88"/>
      <c r="C130" s="88"/>
      <c r="D130" s="3"/>
      <c r="E130" s="3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</row>
    <row r="131" spans="1:16" s="4" customFormat="1" ht="12">
      <c r="A131" s="119"/>
      <c r="B131" s="88"/>
      <c r="C131" s="88"/>
      <c r="D131" s="3"/>
      <c r="E131" s="3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</row>
    <row r="132" spans="1:16" s="4" customFormat="1" ht="12">
      <c r="A132" s="119"/>
      <c r="B132" s="88"/>
      <c r="C132" s="88"/>
      <c r="D132" s="3"/>
      <c r="E132" s="3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</row>
    <row r="133" spans="1:16" s="4" customFormat="1" ht="12">
      <c r="A133" s="119"/>
      <c r="B133" s="88"/>
      <c r="C133" s="88"/>
      <c r="D133" s="3"/>
      <c r="E133" s="3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</row>
    <row r="134" spans="1:16" s="4" customFormat="1" ht="12">
      <c r="A134" s="89"/>
      <c r="B134" s="91"/>
      <c r="C134" s="91"/>
      <c r="D134" s="44"/>
      <c r="E134" s="44"/>
      <c r="F134" s="120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</row>
    <row r="135" spans="1:16" s="4" customFormat="1" ht="12">
      <c r="A135" s="119"/>
      <c r="B135" s="88"/>
      <c r="C135" s="88"/>
      <c r="D135" s="3"/>
      <c r="E135" s="3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</row>
    <row r="136" spans="1:16" s="4" customFormat="1" ht="12">
      <c r="A136" s="94"/>
      <c r="B136" s="93"/>
      <c r="C136" s="93"/>
      <c r="D136" s="121"/>
      <c r="E136" s="121"/>
      <c r="F136" s="122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</row>
    <row r="137" spans="1:16" s="4" customFormat="1" ht="12">
      <c r="A137" s="119"/>
      <c r="B137" s="88"/>
      <c r="C137" s="88"/>
      <c r="D137" s="3"/>
      <c r="E137" s="3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</row>
    <row r="138" spans="1:16" s="4" customFormat="1" ht="12">
      <c r="A138" s="119"/>
      <c r="B138" s="88"/>
      <c r="C138" s="88"/>
      <c r="D138" s="3"/>
      <c r="E138" s="3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</row>
    <row r="139" spans="1:16" s="4" customFormat="1" ht="12">
      <c r="A139" s="119"/>
      <c r="B139" s="88"/>
      <c r="C139" s="88"/>
      <c r="D139" s="3"/>
      <c r="E139" s="3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</row>
    <row r="140" spans="1:16" s="4" customFormat="1" ht="12">
      <c r="A140" s="119"/>
      <c r="B140" s="88"/>
      <c r="C140" s="88"/>
      <c r="D140" s="3"/>
      <c r="E140" s="3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</row>
    <row r="141" spans="1:16" s="4" customFormat="1" ht="12">
      <c r="A141" s="119"/>
      <c r="B141" s="88"/>
      <c r="C141" s="88"/>
      <c r="D141" s="3"/>
      <c r="E141" s="3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</row>
    <row r="142" spans="1:16" s="4" customFormat="1" ht="12">
      <c r="A142" s="89"/>
      <c r="B142" s="91"/>
      <c r="C142" s="91"/>
      <c r="D142" s="44"/>
      <c r="E142" s="44"/>
      <c r="F142" s="120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</row>
    <row r="143" spans="1:16" s="4" customFormat="1" ht="12">
      <c r="A143" s="119"/>
      <c r="B143" s="88"/>
      <c r="C143" s="88"/>
      <c r="D143" s="3"/>
      <c r="E143" s="3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</row>
    <row r="144" spans="1:16" s="4" customFormat="1" ht="12">
      <c r="A144" s="94"/>
      <c r="B144" s="93"/>
      <c r="C144" s="93"/>
      <c r="D144" s="121"/>
      <c r="E144" s="121"/>
      <c r="F144" s="122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</row>
    <row r="145" spans="1:16" s="4" customFormat="1" ht="12">
      <c r="A145" s="119"/>
      <c r="B145" s="88"/>
      <c r="C145" s="88"/>
      <c r="D145" s="3"/>
      <c r="E145" s="3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</row>
    <row r="146" spans="1:16" s="4" customFormat="1" ht="12">
      <c r="A146" s="119"/>
      <c r="B146" s="88"/>
      <c r="C146" s="88"/>
      <c r="D146" s="3"/>
      <c r="E146" s="3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</row>
    <row r="147" spans="1:16" s="4" customFormat="1" ht="12">
      <c r="A147" s="119"/>
      <c r="B147" s="88"/>
      <c r="C147" s="88"/>
      <c r="D147" s="3"/>
      <c r="E147" s="3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</row>
    <row r="148" spans="1:16" s="4" customFormat="1" ht="12">
      <c r="A148" s="119"/>
      <c r="B148" s="88"/>
      <c r="C148" s="88"/>
      <c r="D148" s="3"/>
      <c r="E148" s="3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</row>
    <row r="149" spans="1:16" s="4" customFormat="1" ht="12">
      <c r="A149" s="119"/>
      <c r="B149" s="88"/>
      <c r="C149" s="88"/>
      <c r="D149" s="3"/>
      <c r="E149" s="3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</row>
    <row r="150" spans="1:16" s="4" customFormat="1" ht="12">
      <c r="A150" s="89"/>
      <c r="B150" s="91"/>
      <c r="C150" s="91"/>
      <c r="D150" s="44"/>
      <c r="E150" s="44"/>
      <c r="F150" s="120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</row>
    <row r="151" spans="1:16" s="4" customFormat="1" ht="12">
      <c r="A151" s="119"/>
      <c r="B151" s="88"/>
      <c r="C151" s="88"/>
      <c r="D151" s="3"/>
      <c r="E151" s="3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</row>
    <row r="152" spans="1:16" s="4" customFormat="1" ht="12">
      <c r="A152" s="94"/>
      <c r="B152" s="93"/>
      <c r="C152" s="93"/>
      <c r="D152" s="121"/>
      <c r="E152" s="121"/>
      <c r="F152" s="122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</row>
    <row r="153" spans="1:16" s="4" customFormat="1" ht="12">
      <c r="A153" s="119"/>
      <c r="B153" s="88"/>
      <c r="C153" s="88"/>
      <c r="D153" s="3"/>
      <c r="E153" s="3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</row>
    <row r="154" spans="1:16" s="4" customFormat="1" ht="12">
      <c r="A154" s="119"/>
      <c r="B154" s="88"/>
      <c r="C154" s="88"/>
      <c r="D154" s="3"/>
      <c r="E154" s="3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</row>
    <row r="155" spans="1:16" s="4" customFormat="1" ht="12">
      <c r="A155" s="119"/>
      <c r="B155" s="88"/>
      <c r="C155" s="88"/>
      <c r="D155" s="3"/>
      <c r="E155" s="3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</row>
    <row r="156" spans="1:16" s="4" customFormat="1" ht="12">
      <c r="A156" s="119"/>
      <c r="B156" s="88"/>
      <c r="C156" s="88"/>
      <c r="D156" s="3"/>
      <c r="E156" s="3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</row>
    <row r="157" spans="1:16" s="4" customFormat="1" ht="12">
      <c r="A157" s="119"/>
      <c r="B157" s="88"/>
      <c r="C157" s="88"/>
      <c r="D157" s="3"/>
      <c r="E157" s="3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</row>
    <row r="158" spans="1:16" s="4" customFormat="1" ht="12">
      <c r="A158" s="119"/>
      <c r="B158" s="88"/>
      <c r="C158" s="88"/>
      <c r="D158" s="3"/>
      <c r="E158" s="3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</row>
    <row r="159" spans="1:16" s="4" customFormat="1" ht="12">
      <c r="A159" s="89"/>
      <c r="B159" s="90"/>
      <c r="C159" s="90"/>
      <c r="D159" s="45"/>
      <c r="E159" s="45"/>
      <c r="F159" s="123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</row>
    <row r="160" spans="1:16" s="4" customFormat="1" ht="12">
      <c r="A160" s="119"/>
      <c r="B160" s="88"/>
      <c r="C160" s="88"/>
      <c r="D160" s="3"/>
      <c r="E160" s="3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</row>
  </sheetData>
  <customSheetViews>
    <customSheetView guid="{AE6F0488-1842-4C89-B05F-A836B633FB8F}" scale="75" showPageBreaks="1" showRuler="0" topLeftCell="H1">
      <selection activeCell="O1" sqref="O1:O65536"/>
      <pageMargins left="0.17" right="0.17" top="1" bottom="1" header="0.5" footer="0.5"/>
      <pageSetup paperSize="5" scale="70" orientation="landscape" r:id="rId1"/>
      <headerFooter alignWithMargins="0">
        <oddHeader>&amp;C&amp;"Arial,Bold"2007-08 PROPERTY TAX ABATEMENT REPORT
STATEWIDE TOTALS
(March 2007)</oddHeader>
        <oddFooter>&amp;L&amp;6&amp;A&amp;R&amp;6&amp;D&amp;T</oddFooter>
      </headerFooter>
    </customSheetView>
    <customSheetView guid="{7CE6F7F4-8D8F-4334-ACEE-5BD88E482B05}" scale="75" showPageBreaks="1" showRuler="0">
      <selection activeCell="F42" sqref="F42"/>
      <pageMargins left="0.17" right="0.17" top="1" bottom="1" header="0.5" footer="0.5"/>
      <pageSetup paperSize="5" scale="70" orientation="landscape" r:id="rId2"/>
      <headerFooter alignWithMargins="0">
        <oddHeader>&amp;C&amp;"Arial,Bold"2007-08 PROPERTY TAX ABATEMENT REPORT
STATEWIDE TOTALS
(March 2007)</oddHeader>
        <oddFooter>&amp;L&amp;6&amp;A&amp;R&amp;6&amp;D&amp;T</oddFooter>
      </headerFooter>
    </customSheetView>
    <customSheetView guid="{FA63795C-EC4C-4AAB-B1D6-AA5370DAC04D}" scale="75" showRuler="0">
      <selection activeCell="F42" sqref="F42"/>
      <pageMargins left="0.17" right="0.17" top="1" bottom="1" header="0.5" footer="0.5"/>
      <pageSetup paperSize="5" scale="70" orientation="landscape" r:id="rId3"/>
      <headerFooter alignWithMargins="0">
        <oddHeader>&amp;C&amp;"Arial,Bold"2007-08 PROPERTY TAX ABATEMENT REPORT
STATEWIDE TOTALS
(March 2007)</oddHeader>
        <oddFooter>&amp;L&amp;6&amp;A&amp;R&amp;6&amp;D&amp;T</oddFooter>
      </headerFooter>
    </customSheetView>
  </customSheetViews>
  <phoneticPr fontId="5" type="noConversion"/>
  <pageMargins left="0.75" right="0.75" top="1" bottom="1" header="0.5" footer="0.5"/>
  <pageSetup paperSize="5" scale="63" firstPageNumber="79" fitToHeight="0" orientation="landscape" useFirstPageNumber="1" r:id="rId4"/>
  <headerFooter alignWithMargins="0">
    <oddHeader>&amp;CFY 2026-27 Property Tax Abatement Report
Statewide Totals
(March 2026)</oddHeader>
    <oddFooter>&amp;LState 17 Cents&amp;C&amp;P&amp;R&amp;D&amp;T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indexed="12"/>
    <pageSetUpPr fitToPage="1"/>
  </sheetPr>
  <dimension ref="A1:AB78"/>
  <sheetViews>
    <sheetView view="pageLayout" topLeftCell="A7" zoomScale="84" zoomScaleNormal="75" zoomScaleSheetLayoutView="82" zoomScalePageLayoutView="84" workbookViewId="0">
      <selection activeCell="P24" sqref="P24"/>
    </sheetView>
  </sheetViews>
  <sheetFormatPr defaultColWidth="9.140625" defaultRowHeight="12.75"/>
  <cols>
    <col min="1" max="1" width="16.85546875" style="139" customWidth="1"/>
    <col min="2" max="2" width="13.140625" style="128" customWidth="1"/>
    <col min="3" max="3" width="10.42578125" style="128" hidden="1" customWidth="1"/>
    <col min="4" max="4" width="13.7109375" style="129" customWidth="1"/>
    <col min="5" max="5" width="20.7109375" style="129" customWidth="1"/>
    <col min="6" max="6" width="18.5703125" style="130" customWidth="1"/>
    <col min="7" max="7" width="21.42578125" style="130" customWidth="1"/>
    <col min="8" max="8" width="15.140625" style="130" customWidth="1"/>
    <col min="9" max="9" width="19.7109375" style="130" customWidth="1"/>
    <col min="10" max="10" width="14.85546875" style="130" customWidth="1"/>
    <col min="11" max="11" width="22.28515625" style="130" customWidth="1"/>
    <col min="12" max="12" width="20.140625" style="130" bestFit="1" customWidth="1"/>
    <col min="13" max="13" width="21.85546875" style="130" bestFit="1" customWidth="1"/>
    <col min="14" max="14" width="17.7109375" style="130" customWidth="1"/>
    <col min="15" max="15" width="17.5703125" style="130" customWidth="1"/>
    <col min="16" max="16" width="21.85546875" style="130" customWidth="1"/>
    <col min="19" max="19" width="20.5703125" customWidth="1"/>
    <col min="20" max="20" width="18.140625" customWidth="1"/>
    <col min="21" max="21" width="21.42578125" bestFit="1" customWidth="1"/>
    <col min="22" max="22" width="15.42578125" customWidth="1"/>
    <col min="23" max="23" width="15" customWidth="1"/>
    <col min="24" max="24" width="17.42578125" bestFit="1" customWidth="1"/>
    <col min="27" max="27" width="17.7109375" customWidth="1"/>
    <col min="28" max="28" width="17" customWidth="1"/>
  </cols>
  <sheetData>
    <row r="1" spans="1:28" ht="15.75">
      <c r="A1" s="127" t="s">
        <v>453</v>
      </c>
      <c r="S1" s="348"/>
      <c r="T1" s="348"/>
      <c r="U1" s="348"/>
      <c r="V1" s="348"/>
      <c r="W1" s="348"/>
      <c r="X1" s="359"/>
    </row>
    <row r="2" spans="1:28">
      <c r="S2" s="348"/>
      <c r="T2" s="348"/>
      <c r="U2" s="348"/>
      <c r="V2" s="348"/>
      <c r="W2" s="348"/>
      <c r="X2" s="359"/>
    </row>
    <row r="3" spans="1:28" s="149" customFormat="1" ht="15.75" customHeight="1">
      <c r="A3" s="148"/>
      <c r="B3" s="5">
        <v>-1</v>
      </c>
      <c r="C3" s="5">
        <v>-2</v>
      </c>
      <c r="D3" s="5">
        <v>-3</v>
      </c>
      <c r="E3" s="5">
        <v>-4</v>
      </c>
      <c r="F3" s="5">
        <v>-5</v>
      </c>
      <c r="G3" s="5">
        <v>-6</v>
      </c>
      <c r="H3" s="5">
        <v>-7</v>
      </c>
      <c r="I3" s="5">
        <v>-8</v>
      </c>
      <c r="J3" s="5">
        <v>-9</v>
      </c>
      <c r="K3" s="5">
        <v>-10</v>
      </c>
      <c r="L3" s="5">
        <v>-11</v>
      </c>
      <c r="M3" s="5">
        <v>-12</v>
      </c>
      <c r="N3" s="5">
        <v>-13</v>
      </c>
      <c r="O3" s="164">
        <v>-14</v>
      </c>
      <c r="P3" s="5">
        <v>-15</v>
      </c>
      <c r="Q3" s="5"/>
      <c r="R3" s="5"/>
      <c r="S3" s="349"/>
      <c r="T3" s="349"/>
      <c r="U3" s="349"/>
      <c r="V3" s="349"/>
      <c r="W3" s="349"/>
      <c r="X3" s="360"/>
    </row>
    <row r="4" spans="1:28" s="9" customFormat="1" ht="97.5" customHeight="1" thickBot="1">
      <c r="A4" s="6" t="s">
        <v>13</v>
      </c>
      <c r="B4" s="7" t="str">
        <f>'Carson City'!B3</f>
        <v xml:space="preserve">PROPOSED FY 27 TAX RATE   </v>
      </c>
      <c r="C4" s="7" t="str">
        <f>'Carson City'!B3</f>
        <v xml:space="preserve">PROPOSED FY 27 TAX RATE   </v>
      </c>
      <c r="D4" s="8" t="s">
        <v>2</v>
      </c>
      <c r="E4" s="8" t="s">
        <v>191</v>
      </c>
      <c r="F4" s="107" t="s">
        <v>3</v>
      </c>
      <c r="G4" s="107" t="s">
        <v>4</v>
      </c>
      <c r="H4" s="107" t="s">
        <v>5</v>
      </c>
      <c r="I4" s="107" t="s">
        <v>6</v>
      </c>
      <c r="J4" s="107" t="s">
        <v>7</v>
      </c>
      <c r="K4" s="107" t="s">
        <v>353</v>
      </c>
      <c r="L4" s="107" t="s">
        <v>8</v>
      </c>
      <c r="M4" s="107" t="s">
        <v>357</v>
      </c>
      <c r="N4" s="107" t="s">
        <v>9</v>
      </c>
      <c r="O4" s="8" t="s">
        <v>397</v>
      </c>
      <c r="P4" s="8" t="s">
        <v>418</v>
      </c>
      <c r="S4" s="350" t="s">
        <v>337</v>
      </c>
      <c r="T4" s="350" t="s">
        <v>454</v>
      </c>
      <c r="U4" s="350" t="s">
        <v>389</v>
      </c>
      <c r="V4" s="350" t="s">
        <v>457</v>
      </c>
      <c r="W4" s="350" t="s">
        <v>458</v>
      </c>
      <c r="X4" s="361" t="s">
        <v>455</v>
      </c>
      <c r="AA4" s="375" t="s">
        <v>456</v>
      </c>
      <c r="AB4" s="375" t="s">
        <v>30</v>
      </c>
    </row>
    <row r="5" spans="1:28" s="135" customFormat="1" ht="11.25">
      <c r="A5" s="131"/>
      <c r="B5" s="132"/>
      <c r="C5" s="132"/>
      <c r="D5" s="133"/>
      <c r="E5" s="133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S5" s="351"/>
      <c r="T5" s="351"/>
      <c r="U5" s="351"/>
      <c r="V5" s="351"/>
      <c r="W5" s="351"/>
      <c r="X5" s="362"/>
      <c r="AA5" s="376"/>
      <c r="AB5" s="376"/>
    </row>
    <row r="6" spans="1:28">
      <c r="A6" s="94" t="s">
        <v>0</v>
      </c>
      <c r="B6" s="128">
        <f>'Carson City'!B66</f>
        <v>0.75</v>
      </c>
      <c r="C6" s="128">
        <f>'Carson City'!C66</f>
        <v>0</v>
      </c>
      <c r="D6" s="129">
        <f>'Carson City'!D66</f>
        <v>20783</v>
      </c>
      <c r="E6" s="129">
        <f>'Carson City'!F66</f>
        <v>2720406112.7800002</v>
      </c>
      <c r="F6" s="130">
        <f>'Carson City'!G66</f>
        <v>786605.62461864413</v>
      </c>
      <c r="G6" s="130">
        <f>'Carson City'!H66</f>
        <v>19707491.546949148</v>
      </c>
      <c r="H6" s="130">
        <f>'Carson City'!I66</f>
        <v>0</v>
      </c>
      <c r="I6" s="130">
        <f>'Carson City'!J66</f>
        <v>72394.333813559322</v>
      </c>
      <c r="J6" s="130">
        <f>'Carson City'!K66</f>
        <v>102.53</v>
      </c>
      <c r="K6" s="130">
        <f>'Carson City'!L66</f>
        <v>20421805.367754232</v>
      </c>
      <c r="L6" s="130">
        <f>'Carson City'!M66</f>
        <v>2737518.7674576272</v>
      </c>
      <c r="M6" s="130">
        <f>'Carson City'!N66</f>
        <v>17684286.600296609</v>
      </c>
      <c r="N6" s="130">
        <f>'Carson City'!O66</f>
        <v>1207229.915084746</v>
      </c>
      <c r="O6" s="130">
        <f>'Carson City'!P66</f>
        <v>0</v>
      </c>
      <c r="P6" s="130">
        <f>'Carson City'!Q66</f>
        <v>16477056.685211863</v>
      </c>
      <c r="S6" s="352">
        <f>P6/B6*100</f>
        <v>2196940891.3615818</v>
      </c>
      <c r="T6" s="353">
        <v>0</v>
      </c>
      <c r="U6" s="353">
        <f>S6+T6</f>
        <v>2196940891.3615818</v>
      </c>
      <c r="V6" s="353">
        <v>0</v>
      </c>
      <c r="W6" s="353">
        <v>0</v>
      </c>
      <c r="X6" s="363">
        <v>0</v>
      </c>
      <c r="AA6" s="377">
        <v>0</v>
      </c>
      <c r="AB6" s="377">
        <f>+V6-AA6</f>
        <v>0</v>
      </c>
    </row>
    <row r="7" spans="1:28">
      <c r="A7" s="94" t="s">
        <v>255</v>
      </c>
      <c r="B7" s="128">
        <f>'Churchill '!B70</f>
        <v>0.75</v>
      </c>
      <c r="C7" s="128">
        <f>'Churchill '!C70</f>
        <v>0</v>
      </c>
      <c r="D7" s="129">
        <f>'Churchill '!D70</f>
        <v>12371</v>
      </c>
      <c r="E7" s="129">
        <f>'Churchill '!F70</f>
        <v>1251367312.0633333</v>
      </c>
      <c r="F7" s="130">
        <f>'Churchill '!G70</f>
        <v>589382.68269230763</v>
      </c>
      <c r="G7" s="130">
        <f>'Churchill '!H70</f>
        <v>8884548.4890384618</v>
      </c>
      <c r="H7" s="130">
        <f>'Churchill '!I70</f>
        <v>0</v>
      </c>
      <c r="I7" s="130">
        <f>'Churchill '!J70</f>
        <v>87876.466153846151</v>
      </c>
      <c r="J7" s="130">
        <f>'Churchill '!K70</f>
        <v>150.91999999999999</v>
      </c>
      <c r="K7" s="130">
        <f>'Churchill '!L70</f>
        <v>9386205.6255769227</v>
      </c>
      <c r="L7" s="130">
        <f>'Churchill '!M70</f>
        <v>1053090.3811538464</v>
      </c>
      <c r="M7" s="130">
        <f>'Churchill '!N70</f>
        <v>8333115.2444230765</v>
      </c>
      <c r="N7" s="130">
        <f>'Churchill '!O70</f>
        <v>0</v>
      </c>
      <c r="O7" s="130">
        <f>'Churchill '!P70</f>
        <v>24828.917307692307</v>
      </c>
      <c r="P7" s="130">
        <f>'Churchill '!Q70</f>
        <v>8308286.3271153839</v>
      </c>
      <c r="S7" s="352">
        <f t="shared" ref="S7:S22" si="0">P7/B7*100</f>
        <v>1107771510.2820511</v>
      </c>
      <c r="T7" s="353">
        <v>45495910.880000003</v>
      </c>
      <c r="U7" s="353">
        <f t="shared" ref="U7:U22" si="1">S7+T7</f>
        <v>1153267421.1620512</v>
      </c>
      <c r="V7" s="354">
        <f>247839.01</f>
        <v>247839.01</v>
      </c>
      <c r="W7" s="354">
        <v>181748.59</v>
      </c>
      <c r="X7" s="364">
        <v>248379.02</v>
      </c>
      <c r="AA7" s="378">
        <v>531320.53</v>
      </c>
      <c r="AB7" s="377">
        <f t="shared" ref="AB7:AB22" si="2">+V7-AA7</f>
        <v>-283481.52</v>
      </c>
    </row>
    <row r="8" spans="1:28">
      <c r="A8" s="94" t="s">
        <v>256</v>
      </c>
      <c r="B8" s="128">
        <f>Clark!B109</f>
        <v>0.75</v>
      </c>
      <c r="C8" s="128">
        <f>Clark!C109</f>
        <v>0</v>
      </c>
      <c r="D8" s="129">
        <f>Clark!D109</f>
        <v>860904</v>
      </c>
      <c r="E8" s="129">
        <f>Clark!F109</f>
        <v>181168993252.11664</v>
      </c>
      <c r="F8" s="130">
        <f>Clark!G109</f>
        <v>29027972.374175232</v>
      </c>
      <c r="G8" s="130">
        <f>Clark!H109</f>
        <v>1269285749.6629338</v>
      </c>
      <c r="H8" s="130">
        <f>Clark!I109</f>
        <v>0</v>
      </c>
      <c r="I8" s="130">
        <f>Clark!J109</f>
        <v>119277886.50499924</v>
      </c>
      <c r="J8" s="130">
        <f>Clark!K109</f>
        <v>0</v>
      </c>
      <c r="K8" s="130">
        <f>Clark!L109</f>
        <v>1179035835.53211</v>
      </c>
      <c r="L8" s="130">
        <f>Clark!M109</f>
        <v>240514101.98008287</v>
      </c>
      <c r="M8" s="130">
        <f>Clark!N109</f>
        <v>938521733.55202699</v>
      </c>
      <c r="N8" s="130">
        <f>Clark!O109</f>
        <v>371342.76315789472</v>
      </c>
      <c r="O8" s="130">
        <f>Clark!P109</f>
        <v>326279.96202240296</v>
      </c>
      <c r="P8" s="130">
        <f>Clark!Q109</f>
        <v>937824110.82684672</v>
      </c>
      <c r="S8" s="352">
        <f t="shared" si="0"/>
        <v>125043214776.9129</v>
      </c>
      <c r="T8" s="353">
        <v>8761848.1099999994</v>
      </c>
      <c r="U8" s="353">
        <f t="shared" si="1"/>
        <v>125051976625.0229</v>
      </c>
      <c r="V8" s="353">
        <v>63643.31</v>
      </c>
      <c r="W8" s="353">
        <v>46960.28</v>
      </c>
      <c r="X8" s="364">
        <v>76377.05</v>
      </c>
      <c r="AA8" s="377">
        <v>114201.93</v>
      </c>
      <c r="AB8" s="377">
        <f t="shared" si="2"/>
        <v>-50558.619999999995</v>
      </c>
    </row>
    <row r="9" spans="1:28">
      <c r="A9" s="94" t="s">
        <v>257</v>
      </c>
      <c r="B9" s="128">
        <f>Douglas!B93</f>
        <v>0.75</v>
      </c>
      <c r="C9" s="128">
        <f>Douglas!C93</f>
        <v>0</v>
      </c>
      <c r="D9" s="129">
        <f>Douglas!D93</f>
        <v>27985</v>
      </c>
      <c r="E9" s="129">
        <f>Douglas!F93</f>
        <v>5214250806.3866673</v>
      </c>
      <c r="F9" s="130">
        <f>Douglas!G93</f>
        <v>1195837.3495588235</v>
      </c>
      <c r="G9" s="130">
        <f>Douglas!H93</f>
        <v>37837743.902058825</v>
      </c>
      <c r="H9" s="130">
        <f>Douglas!I93</f>
        <v>0</v>
      </c>
      <c r="I9" s="130">
        <f>Douglas!J93</f>
        <v>150916.24470588233</v>
      </c>
      <c r="J9" s="130">
        <f>Douglas!K93</f>
        <v>923.37</v>
      </c>
      <c r="K9" s="130">
        <f>Douglas!L93</f>
        <v>38883588.376911759</v>
      </c>
      <c r="L9" s="130">
        <f>Douglas!M93</f>
        <v>4482939.2652941179</v>
      </c>
      <c r="M9" s="130">
        <f>Douglas!N93</f>
        <v>34400649.11161764</v>
      </c>
      <c r="N9" s="130">
        <f>Douglas!O93</f>
        <v>900716.48117647052</v>
      </c>
      <c r="O9" s="130">
        <f>Douglas!P93</f>
        <v>0</v>
      </c>
      <c r="P9" s="130">
        <f>Douglas!Q93</f>
        <v>33499932.630441166</v>
      </c>
      <c r="S9" s="352">
        <f t="shared" si="0"/>
        <v>4466657684.0588217</v>
      </c>
      <c r="T9" s="353">
        <v>0</v>
      </c>
      <c r="U9" s="353">
        <f t="shared" si="1"/>
        <v>4466657684.0588217</v>
      </c>
      <c r="V9" s="353">
        <v>0</v>
      </c>
      <c r="W9" s="353">
        <v>0</v>
      </c>
      <c r="X9" s="364">
        <v>0</v>
      </c>
      <c r="AA9" s="377">
        <v>0</v>
      </c>
      <c r="AB9" s="377">
        <f t="shared" si="2"/>
        <v>0</v>
      </c>
    </row>
    <row r="10" spans="1:28" s="144" customFormat="1">
      <c r="A10" s="94" t="s">
        <v>258</v>
      </c>
      <c r="B10" s="142">
        <f>Elko!B82</f>
        <v>0.75</v>
      </c>
      <c r="C10" s="142">
        <f>Elko!C82</f>
        <v>0</v>
      </c>
      <c r="D10" s="143">
        <f>Elko!D82</f>
        <v>43442</v>
      </c>
      <c r="E10" s="143">
        <f>Elko!F82</f>
        <v>2658204943.5899997</v>
      </c>
      <c r="F10" s="145">
        <f>Elko!G82</f>
        <v>1302606.42</v>
      </c>
      <c r="G10" s="145">
        <f>Elko!H82</f>
        <v>19155841.512499999</v>
      </c>
      <c r="H10" s="145">
        <f>Elko!I82</f>
        <v>0</v>
      </c>
      <c r="I10" s="145">
        <f>Elko!J82</f>
        <v>528356.76</v>
      </c>
      <c r="J10" s="145">
        <f>Elko!K82</f>
        <v>173.83</v>
      </c>
      <c r="K10" s="145">
        <f>Elko!L82</f>
        <v>19930265.002499998</v>
      </c>
      <c r="L10" s="145">
        <f>Elko!M82</f>
        <v>620694.36</v>
      </c>
      <c r="M10" s="145">
        <f>Elko!N82</f>
        <v>19309570.642500002</v>
      </c>
      <c r="N10" s="145">
        <f>Elko!O82</f>
        <v>129871.43</v>
      </c>
      <c r="O10" s="145">
        <f>Elko!P82</f>
        <v>43.31</v>
      </c>
      <c r="P10" s="145">
        <f>Elko!Q82</f>
        <v>19179655.9025</v>
      </c>
      <c r="S10" s="352">
        <f t="shared" si="0"/>
        <v>2557287453.6666665</v>
      </c>
      <c r="T10" s="355">
        <v>205900991.05000001</v>
      </c>
      <c r="U10" s="353">
        <f t="shared" si="1"/>
        <v>2763188444.7166667</v>
      </c>
      <c r="V10" s="353">
        <f>1558634.76</f>
        <v>1558634.76</v>
      </c>
      <c r="W10" s="353">
        <v>1558676.55</v>
      </c>
      <c r="X10" s="365">
        <v>1610973.28</v>
      </c>
      <c r="AA10" s="377">
        <v>3088514.88</v>
      </c>
      <c r="AB10" s="377">
        <f t="shared" si="2"/>
        <v>-1529880.1199999999</v>
      </c>
    </row>
    <row r="11" spans="1:28">
      <c r="A11" s="94" t="s">
        <v>259</v>
      </c>
      <c r="B11" s="128">
        <f>Esmeralda!B63</f>
        <v>0.75</v>
      </c>
      <c r="C11" s="128">
        <f>Esmeralda!C63</f>
        <v>0</v>
      </c>
      <c r="D11" s="129">
        <f>Esmeralda!D63</f>
        <v>2577</v>
      </c>
      <c r="E11" s="129">
        <f>Esmeralda!F63</f>
        <v>193347153.73999998</v>
      </c>
      <c r="F11" s="130">
        <f>Esmeralda!G63</f>
        <v>535639.6825</v>
      </c>
      <c r="G11" s="130">
        <f>Esmeralda!H63</f>
        <v>916885.255</v>
      </c>
      <c r="H11" s="130">
        <f>Esmeralda!I63</f>
        <v>0</v>
      </c>
      <c r="I11" s="130">
        <f>Esmeralda!J63</f>
        <v>255233.11</v>
      </c>
      <c r="J11" s="130">
        <f>Esmeralda!K63</f>
        <v>0</v>
      </c>
      <c r="K11" s="130">
        <f>Esmeralda!L63</f>
        <v>1197291.8274999999</v>
      </c>
      <c r="L11" s="130">
        <f>Esmeralda!M63</f>
        <v>11920.400000000001</v>
      </c>
      <c r="M11" s="130">
        <f>Esmeralda!N63</f>
        <v>1185371.4275</v>
      </c>
      <c r="N11" s="130">
        <f>Esmeralda!O63</f>
        <v>0</v>
      </c>
      <c r="O11" s="130">
        <f>Esmeralda!P63</f>
        <v>0</v>
      </c>
      <c r="P11" s="130">
        <f>Esmeralda!Q63</f>
        <v>1185371.4275</v>
      </c>
      <c r="S11" s="352">
        <f t="shared" si="0"/>
        <v>158049523.66666666</v>
      </c>
      <c r="T11" s="353">
        <v>17254962</v>
      </c>
      <c r="U11" s="353">
        <f t="shared" si="1"/>
        <v>175304485.66666666</v>
      </c>
      <c r="V11" s="353">
        <v>124911.72</v>
      </c>
      <c r="W11" s="353">
        <v>0</v>
      </c>
      <c r="X11" s="364">
        <v>328211.39</v>
      </c>
      <c r="AA11" s="377">
        <v>129412.22</v>
      </c>
      <c r="AB11" s="377">
        <f t="shared" si="2"/>
        <v>-4500.5</v>
      </c>
    </row>
    <row r="12" spans="1:28">
      <c r="A12" s="94" t="s">
        <v>260</v>
      </c>
      <c r="B12" s="128">
        <f>Eureka!B75</f>
        <v>0.75</v>
      </c>
      <c r="C12" s="128">
        <f>Eureka!C75</f>
        <v>0</v>
      </c>
      <c r="D12" s="129">
        <f>Eureka!D75</f>
        <v>3843</v>
      </c>
      <c r="E12" s="129">
        <f>Eureka!F75</f>
        <v>889897213.28000009</v>
      </c>
      <c r="F12" s="130">
        <f>Eureka!G75</f>
        <v>1265269.49</v>
      </c>
      <c r="G12" s="130">
        <f>Eureka!H75</f>
        <v>8073406.5674999999</v>
      </c>
      <c r="H12" s="130">
        <f>Eureka!I75</f>
        <v>0</v>
      </c>
      <c r="I12" s="130">
        <f>Eureka!J75</f>
        <v>2664450.23</v>
      </c>
      <c r="J12" s="130">
        <f>Eureka!K75</f>
        <v>21.67</v>
      </c>
      <c r="K12" s="130">
        <f>Eureka!L75</f>
        <v>6674247.4975000005</v>
      </c>
      <c r="L12" s="130">
        <f>Eureka!M75</f>
        <v>135728.54999999999</v>
      </c>
      <c r="M12" s="130">
        <f>Eureka!N75</f>
        <v>6538518.9474999998</v>
      </c>
      <c r="N12" s="130">
        <f>Eureka!O75</f>
        <v>0</v>
      </c>
      <c r="O12" s="130">
        <f>Eureka!P75</f>
        <v>427636.57</v>
      </c>
      <c r="P12" s="130">
        <f>Eureka!Q75</f>
        <v>6110882.3774999995</v>
      </c>
      <c r="S12" s="352">
        <f t="shared" si="0"/>
        <v>814784316.99999988</v>
      </c>
      <c r="T12" s="353">
        <v>750168021.90999997</v>
      </c>
      <c r="U12" s="353">
        <f t="shared" si="1"/>
        <v>1564952338.9099998</v>
      </c>
      <c r="V12" s="353">
        <f>5629641+0</f>
        <v>5629641</v>
      </c>
      <c r="W12" s="353">
        <v>0</v>
      </c>
      <c r="X12" s="364">
        <v>2974561.66</v>
      </c>
      <c r="AA12" s="377">
        <v>5625183.0800000001</v>
      </c>
      <c r="AB12" s="377">
        <f t="shared" si="2"/>
        <v>4457.9199999999255</v>
      </c>
    </row>
    <row r="13" spans="1:28">
      <c r="A13" s="94" t="s">
        <v>261</v>
      </c>
      <c r="B13" s="128">
        <f>Humboldt!B81</f>
        <v>0.75</v>
      </c>
      <c r="C13" s="128">
        <f>Humboldt!C81</f>
        <v>0</v>
      </c>
      <c r="D13" s="129">
        <f>Humboldt!D81</f>
        <v>15940</v>
      </c>
      <c r="E13" s="129">
        <f>Humboldt!F81</f>
        <v>1472840732.3366663</v>
      </c>
      <c r="F13" s="130">
        <f>Humboldt!G81</f>
        <v>2323550.8012288134</v>
      </c>
      <c r="G13" s="130">
        <f>Humboldt!H81</f>
        <v>9312747.374152543</v>
      </c>
      <c r="H13" s="130">
        <f>Humboldt!I81</f>
        <v>0</v>
      </c>
      <c r="I13" s="130">
        <f>Humboldt!J81</f>
        <v>589999.58237288136</v>
      </c>
      <c r="J13" s="130">
        <f>Humboldt!K81</f>
        <v>78.78</v>
      </c>
      <c r="K13" s="130">
        <f>Humboldt!L81</f>
        <v>11046377.373008475</v>
      </c>
      <c r="L13" s="130">
        <f>Humboldt!M81</f>
        <v>346412.02949152543</v>
      </c>
      <c r="M13" s="130">
        <f>Humboldt!N81</f>
        <v>10699965.34351695</v>
      </c>
      <c r="N13" s="130">
        <f>Humboldt!O81</f>
        <v>0</v>
      </c>
      <c r="O13" s="130">
        <f>Humboldt!P81</f>
        <v>85000</v>
      </c>
      <c r="P13" s="130">
        <f>Humboldt!Q81</f>
        <v>10614965.34351695</v>
      </c>
      <c r="S13" s="352">
        <f t="shared" si="0"/>
        <v>1415328712.4689267</v>
      </c>
      <c r="T13" s="353">
        <v>559923133.16999996</v>
      </c>
      <c r="U13" s="353">
        <f t="shared" si="1"/>
        <v>1975251845.6389265</v>
      </c>
      <c r="V13" s="353">
        <f>4162521.95</f>
        <v>4162521.95</v>
      </c>
      <c r="W13" s="353">
        <v>749253.96</v>
      </c>
      <c r="X13" s="364">
        <v>2573135.86</v>
      </c>
      <c r="AA13" s="377">
        <v>4899271.4000000004</v>
      </c>
      <c r="AB13" s="377">
        <f t="shared" si="2"/>
        <v>-736749.45000000019</v>
      </c>
    </row>
    <row r="14" spans="1:28">
      <c r="A14" s="94" t="s">
        <v>262</v>
      </c>
      <c r="B14" s="128">
        <f>Lander!B72</f>
        <v>0.75</v>
      </c>
      <c r="C14" s="128">
        <f>Lander!C72</f>
        <v>0</v>
      </c>
      <c r="D14" s="129">
        <f>Lander!D72</f>
        <v>6774</v>
      </c>
      <c r="E14" s="129">
        <f>Lander!F72</f>
        <v>830269757.9000001</v>
      </c>
      <c r="F14" s="130">
        <f>Lander!G72</f>
        <v>762181.5675</v>
      </c>
      <c r="G14" s="130">
        <f>Lander!H72</f>
        <v>5908300.5649999995</v>
      </c>
      <c r="H14" s="130">
        <f>Lander!I72</f>
        <v>0</v>
      </c>
      <c r="I14" s="130">
        <f>Lander!J72</f>
        <v>443457.07</v>
      </c>
      <c r="J14" s="130">
        <f>Lander!K72</f>
        <v>20.76</v>
      </c>
      <c r="K14" s="130">
        <f>Lander!L72</f>
        <v>6227045.8224999998</v>
      </c>
      <c r="L14" s="130">
        <f>Lander!M72</f>
        <v>148119.22</v>
      </c>
      <c r="M14" s="130">
        <f>Lander!N72</f>
        <v>6078926.6025</v>
      </c>
      <c r="N14" s="130">
        <f>Lander!O72</f>
        <v>0</v>
      </c>
      <c r="O14" s="130">
        <f>Lander!P72</f>
        <v>56100</v>
      </c>
      <c r="P14" s="130">
        <f>Lander!Q72</f>
        <v>6022826.6025</v>
      </c>
      <c r="S14" s="352">
        <f t="shared" si="0"/>
        <v>803043547</v>
      </c>
      <c r="T14" s="353">
        <v>669841348.64999998</v>
      </c>
      <c r="U14" s="353">
        <f t="shared" si="1"/>
        <v>1472884895.6500001</v>
      </c>
      <c r="V14" s="353">
        <f>4874896.03+0</f>
        <v>4874896.03</v>
      </c>
      <c r="W14" s="353">
        <v>0</v>
      </c>
      <c r="X14" s="364">
        <v>6475379.5599999996</v>
      </c>
      <c r="AA14" s="377">
        <v>5012045.5</v>
      </c>
      <c r="AB14" s="377">
        <f t="shared" si="2"/>
        <v>-137149.46999999974</v>
      </c>
    </row>
    <row r="15" spans="1:28">
      <c r="A15" s="94" t="s">
        <v>263</v>
      </c>
      <c r="B15" s="128">
        <f>Lincoln!B83</f>
        <v>0.75</v>
      </c>
      <c r="C15" s="128">
        <f>Lincoln!C83</f>
        <v>0</v>
      </c>
      <c r="D15" s="129">
        <f>Lincoln!D83</f>
        <v>4681</v>
      </c>
      <c r="E15" s="129">
        <f>Lincoln!F83</f>
        <v>407450780.63999999</v>
      </c>
      <c r="F15" s="130">
        <f>Lincoln!G83</f>
        <v>178146.59813071627</v>
      </c>
      <c r="G15" s="130">
        <f>Lincoln!H83</f>
        <v>3023978.3786797351</v>
      </c>
      <c r="H15" s="130">
        <f>Lincoln!I83</f>
        <v>0</v>
      </c>
      <c r="I15" s="130">
        <f>Lincoln!J83</f>
        <v>146243.48060014387</v>
      </c>
      <c r="J15" s="130">
        <f>Lincoln!K83</f>
        <v>642.54999999999995</v>
      </c>
      <c r="K15" s="130">
        <f>Lincoln!L83</f>
        <v>3056524.0462103076</v>
      </c>
      <c r="L15" s="130">
        <f>Lincoln!M83</f>
        <v>211158.16659027847</v>
      </c>
      <c r="M15" s="130">
        <f>Lincoln!N83</f>
        <v>2845365.8796200291</v>
      </c>
      <c r="N15" s="130">
        <f>Lincoln!O83</f>
        <v>0</v>
      </c>
      <c r="O15" s="130">
        <f>Lincoln!P83</f>
        <v>395829.80585756857</v>
      </c>
      <c r="P15" s="130">
        <f>Lincoln!Q83</f>
        <v>2449607.7904411163</v>
      </c>
      <c r="S15" s="352">
        <f t="shared" si="0"/>
        <v>326614372.05881548</v>
      </c>
      <c r="T15" s="353">
        <v>2213.7800000000002</v>
      </c>
      <c r="U15" s="353">
        <f t="shared" si="1"/>
        <v>326616585.83881545</v>
      </c>
      <c r="V15" s="353">
        <v>2.0699999999999998</v>
      </c>
      <c r="W15" s="353">
        <v>0.62</v>
      </c>
      <c r="X15" s="364">
        <v>6.14</v>
      </c>
      <c r="AA15" s="377">
        <v>21.54</v>
      </c>
      <c r="AB15" s="377">
        <f t="shared" si="2"/>
        <v>-19.47</v>
      </c>
    </row>
    <row r="16" spans="1:28">
      <c r="A16" s="94" t="s">
        <v>264</v>
      </c>
      <c r="B16" s="128">
        <f>'Lyon '!B78</f>
        <v>0.75</v>
      </c>
      <c r="C16" s="128">
        <f>'Lyon '!C78</f>
        <v>0</v>
      </c>
      <c r="D16" s="129">
        <f>'Lyon '!D78</f>
        <v>34069</v>
      </c>
      <c r="E16" s="129">
        <f>'Lyon '!F78</f>
        <v>3575678342.2000003</v>
      </c>
      <c r="F16" s="130">
        <f>'Lyon '!G78</f>
        <v>1401819.3370870426</v>
      </c>
      <c r="G16" s="130">
        <f>'Lyon '!H78</f>
        <v>25781490.033437386</v>
      </c>
      <c r="H16" s="130">
        <f>'Lyon '!I78</f>
        <v>0</v>
      </c>
      <c r="I16" s="130">
        <f>'Lyon '!J78</f>
        <v>365927.77179022972</v>
      </c>
      <c r="J16" s="130">
        <f>'Lyon '!K78</f>
        <v>388.61</v>
      </c>
      <c r="K16" s="130">
        <f>'Lyon '!L78</f>
        <v>26817770.208734196</v>
      </c>
      <c r="L16" s="130">
        <f>'Lyon '!M78</f>
        <v>7321379.5995421559</v>
      </c>
      <c r="M16" s="130">
        <f>'Lyon '!N78</f>
        <v>19496390.609192044</v>
      </c>
      <c r="N16" s="130">
        <f>'Lyon '!O78</f>
        <v>0</v>
      </c>
      <c r="O16" s="130">
        <f>'Lyon '!P78</f>
        <v>44077.70816189122</v>
      </c>
      <c r="P16" s="130">
        <f>'Lyon '!Q78</f>
        <v>19452312.901030149</v>
      </c>
      <c r="S16" s="352">
        <f t="shared" si="0"/>
        <v>2593641720.1373534</v>
      </c>
      <c r="T16" s="353">
        <v>1039456.91</v>
      </c>
      <c r="U16" s="353">
        <f t="shared" si="1"/>
        <v>2594681177.0473533</v>
      </c>
      <c r="V16" s="353">
        <f>26.49</f>
        <v>26.49</v>
      </c>
      <c r="W16" s="353">
        <v>20.72</v>
      </c>
      <c r="X16" s="364">
        <v>13845.08</v>
      </c>
      <c r="AA16" s="377">
        <v>13894.41</v>
      </c>
      <c r="AB16" s="377">
        <f t="shared" si="2"/>
        <v>-13867.92</v>
      </c>
    </row>
    <row r="17" spans="1:28">
      <c r="A17" s="94" t="s">
        <v>265</v>
      </c>
      <c r="B17" s="128">
        <f>Mineral!B63</f>
        <v>0.75</v>
      </c>
      <c r="C17" s="128">
        <f>Mineral!C63</f>
        <v>0</v>
      </c>
      <c r="D17" s="129">
        <f>Mineral!D63</f>
        <v>3596</v>
      </c>
      <c r="E17" s="129">
        <f>Mineral!F63</f>
        <v>256654712.07333329</v>
      </c>
      <c r="F17" s="130">
        <f>Mineral!G63</f>
        <v>637673.5575</v>
      </c>
      <c r="G17" s="130">
        <f>Mineral!H63</f>
        <v>1560921.4749999999</v>
      </c>
      <c r="H17" s="130">
        <f>Mineral!I63</f>
        <v>0</v>
      </c>
      <c r="I17" s="130">
        <f>Mineral!J63</f>
        <v>273631.60250000004</v>
      </c>
      <c r="J17" s="130">
        <f>Mineral!K63</f>
        <v>100.63</v>
      </c>
      <c r="K17" s="130">
        <f>Mineral!L63</f>
        <v>1925064.06</v>
      </c>
      <c r="L17" s="130">
        <f>Mineral!M63</f>
        <v>46860.627500000002</v>
      </c>
      <c r="M17" s="130">
        <f>Mineral!N63</f>
        <v>1878203.4324999999</v>
      </c>
      <c r="N17" s="130">
        <f>Mineral!O63</f>
        <v>0</v>
      </c>
      <c r="O17" s="130">
        <f>Mineral!P63</f>
        <v>181553.625</v>
      </c>
      <c r="P17" s="130">
        <f>Mineral!Q63</f>
        <v>1696649.8074999999</v>
      </c>
      <c r="S17" s="352">
        <f t="shared" si="0"/>
        <v>226219974.33333331</v>
      </c>
      <c r="T17" s="353">
        <v>492607</v>
      </c>
      <c r="U17" s="353">
        <f t="shared" si="1"/>
        <v>226712581.33333331</v>
      </c>
      <c r="V17" s="353">
        <f>484.15</f>
        <v>484.15</v>
      </c>
      <c r="W17" s="353">
        <v>161.38</v>
      </c>
      <c r="X17" s="364">
        <v>95371</v>
      </c>
      <c r="AA17" s="377">
        <v>645.53</v>
      </c>
      <c r="AB17" s="377">
        <f t="shared" si="2"/>
        <v>-161.38</v>
      </c>
    </row>
    <row r="18" spans="1:28">
      <c r="A18" s="94" t="s">
        <v>266</v>
      </c>
      <c r="B18" s="128">
        <f>'Nye '!B84</f>
        <v>0.75</v>
      </c>
      <c r="C18" s="128">
        <v>0</v>
      </c>
      <c r="D18" s="129">
        <f>'Nye '!D84</f>
        <v>58339</v>
      </c>
      <c r="E18" s="129">
        <f>'Nye '!F84</f>
        <v>2524073369.856667</v>
      </c>
      <c r="F18" s="130">
        <f>'Nye '!G84</f>
        <v>1674207.2996910112</v>
      </c>
      <c r="G18" s="130">
        <f>'Nye '!H84</f>
        <v>17985193.784073032</v>
      </c>
      <c r="H18" s="130">
        <f>'Nye '!I84</f>
        <v>0</v>
      </c>
      <c r="I18" s="130">
        <f>'Nye '!J84</f>
        <v>726631.59033707867</v>
      </c>
      <c r="J18" s="130">
        <f>'Nye '!K84</f>
        <v>1128.02</v>
      </c>
      <c r="K18" s="130">
        <f>'Nye '!L84</f>
        <v>18933897.513426967</v>
      </c>
      <c r="L18" s="130">
        <f>'Nye '!M84</f>
        <v>3577716.7320224722</v>
      </c>
      <c r="M18" s="130">
        <f>'Nye '!N84</f>
        <v>15356180.781404495</v>
      </c>
      <c r="N18" s="130">
        <f>'Nye '!O84</f>
        <v>0</v>
      </c>
      <c r="O18" s="130">
        <f>'Nye '!P84</f>
        <v>373194.85865168535</v>
      </c>
      <c r="P18" s="130">
        <f>'Nye '!Q84</f>
        <v>14982985.922752809</v>
      </c>
      <c r="S18" s="352">
        <f t="shared" si="0"/>
        <v>1997731456.3670411</v>
      </c>
      <c r="T18" s="353">
        <v>166092891.03</v>
      </c>
      <c r="U18" s="353">
        <f t="shared" si="1"/>
        <v>2163824347.3970413</v>
      </c>
      <c r="V18" s="353">
        <f>1175389.8+916804.03</f>
        <v>2092193.83</v>
      </c>
      <c r="W18" s="353">
        <v>161.38</v>
      </c>
      <c r="X18" s="364">
        <v>1312691.3700000001</v>
      </c>
      <c r="AA18" s="377">
        <v>2201945.84</v>
      </c>
      <c r="AB18" s="377">
        <f t="shared" si="2"/>
        <v>-109752.00999999978</v>
      </c>
    </row>
    <row r="19" spans="1:28">
      <c r="A19" s="94" t="s">
        <v>267</v>
      </c>
      <c r="B19" s="128">
        <v>0.75</v>
      </c>
      <c r="C19" s="128">
        <v>0</v>
      </c>
      <c r="D19" s="129">
        <f>Pershing!D70</f>
        <v>10681</v>
      </c>
      <c r="E19" s="129">
        <f>Pershing!F70</f>
        <v>643973847.91999996</v>
      </c>
      <c r="F19" s="130">
        <f>Pershing!G70</f>
        <v>105980.89565217392</v>
      </c>
      <c r="G19" s="130">
        <f>Pershing!H70</f>
        <v>4750591.640434783</v>
      </c>
      <c r="H19" s="130">
        <f>Pershing!I70</f>
        <v>0</v>
      </c>
      <c r="I19" s="130">
        <f>Pershing!J70</f>
        <v>26626.326956521742</v>
      </c>
      <c r="J19" s="130">
        <f>Pershing!K70</f>
        <v>111.68</v>
      </c>
      <c r="K19" s="130">
        <f>Pershing!L70</f>
        <v>4830057.889130434</v>
      </c>
      <c r="L19" s="130">
        <f>Pershing!M70</f>
        <v>134911.86739130437</v>
      </c>
      <c r="M19" s="130">
        <f>Pershing!N70</f>
        <v>4695146.0217391308</v>
      </c>
      <c r="N19" s="130">
        <f>Pershing!O70</f>
        <v>0</v>
      </c>
      <c r="O19" s="130">
        <f>Pershing!P70</f>
        <v>72151.265217391308</v>
      </c>
      <c r="P19" s="130">
        <f>Pershing!Q70</f>
        <v>4622994.7565217391</v>
      </c>
      <c r="S19" s="352">
        <f t="shared" si="0"/>
        <v>616399300.86956513</v>
      </c>
      <c r="T19" s="353">
        <v>16734186.970000001</v>
      </c>
      <c r="U19" s="353">
        <f t="shared" si="1"/>
        <v>633133487.83956516</v>
      </c>
      <c r="V19" s="353">
        <f>88778.92</f>
        <v>88778.92</v>
      </c>
      <c r="W19" s="353">
        <v>47348.75</v>
      </c>
      <c r="X19" s="364">
        <v>270951.8</v>
      </c>
      <c r="AA19" s="377">
        <v>192388.72</v>
      </c>
      <c r="AB19" s="377">
        <f t="shared" si="2"/>
        <v>-103609.8</v>
      </c>
    </row>
    <row r="20" spans="1:28">
      <c r="A20" s="94" t="s">
        <v>268</v>
      </c>
      <c r="B20" s="128">
        <f>Storey!B65</f>
        <v>0.75</v>
      </c>
      <c r="C20" s="128">
        <f>Storey!C65</f>
        <v>0</v>
      </c>
      <c r="D20" s="129">
        <f>Storey!D65</f>
        <v>4805</v>
      </c>
      <c r="E20" s="129">
        <f>Storey!F65</f>
        <v>5636417050.5466661</v>
      </c>
      <c r="F20" s="130">
        <f>Storey!G65</f>
        <v>10386201.493973957</v>
      </c>
      <c r="G20" s="130">
        <f>Storey!H65</f>
        <v>31968131.297337372</v>
      </c>
      <c r="H20" s="130">
        <f>Storey!I65</f>
        <v>0</v>
      </c>
      <c r="I20" s="130">
        <f>Storey!J65</f>
        <v>80937.19012629932</v>
      </c>
      <c r="J20" s="130">
        <f>Storey!K65</f>
        <v>14910.15</v>
      </c>
      <c r="K20" s="130">
        <f>Storey!L65</f>
        <v>42288305.751185037</v>
      </c>
      <c r="L20" s="130">
        <f>Storey!M65</f>
        <v>1733518.5202458925</v>
      </c>
      <c r="M20" s="130">
        <f>Storey!N65</f>
        <v>40554787.230939142</v>
      </c>
      <c r="N20" s="130">
        <f>Storey!O65</f>
        <v>0</v>
      </c>
      <c r="O20" s="130">
        <f>Storey!P65</f>
        <v>0</v>
      </c>
      <c r="P20" s="130">
        <f>Storey!Q65</f>
        <v>40554787.230939142</v>
      </c>
      <c r="S20" s="352">
        <f t="shared" si="0"/>
        <v>5407304964.1252193</v>
      </c>
      <c r="T20" s="353">
        <v>1027296</v>
      </c>
      <c r="U20" s="353">
        <f t="shared" si="1"/>
        <v>5408332260.1252193</v>
      </c>
      <c r="V20" s="353">
        <f>7704.72</f>
        <v>7704.72</v>
      </c>
      <c r="W20" s="353">
        <v>1486.5</v>
      </c>
      <c r="X20" s="364">
        <v>5456.03</v>
      </c>
      <c r="AA20" s="377">
        <v>9191.2199999999993</v>
      </c>
      <c r="AB20" s="377">
        <f t="shared" si="2"/>
        <v>-1486.4999999999991</v>
      </c>
    </row>
    <row r="21" spans="1:28">
      <c r="A21" s="94" t="s">
        <v>269</v>
      </c>
      <c r="B21" s="128">
        <f>Washoe!B85</f>
        <v>0.75</v>
      </c>
      <c r="C21" s="128">
        <f>Washoe!C85</f>
        <v>0</v>
      </c>
      <c r="D21" s="129">
        <f>Washoe!D85</f>
        <v>192380</v>
      </c>
      <c r="E21" s="129">
        <f>Washoe!F85</f>
        <v>36303709165.516663</v>
      </c>
      <c r="F21" s="129">
        <f>Washoe!G85</f>
        <v>12525820.248652834</v>
      </c>
      <c r="G21" s="129">
        <f>Washoe!H85</f>
        <v>259943357.25471342</v>
      </c>
      <c r="H21" s="129">
        <f>Washoe!I85</f>
        <v>0</v>
      </c>
      <c r="I21" s="129">
        <f>Washoe!J85</f>
        <v>28301363.837944664</v>
      </c>
      <c r="J21" s="129">
        <f>Washoe!K85</f>
        <v>1188.9100000000001</v>
      </c>
      <c r="K21" s="129">
        <f>Washoe!L85</f>
        <v>244169002.5754216</v>
      </c>
      <c r="L21" s="129">
        <f>Washoe!M85</f>
        <v>47082614.434532285</v>
      </c>
      <c r="M21" s="129">
        <f>Washoe!N85</f>
        <v>197086388.14088932</v>
      </c>
      <c r="N21" s="129">
        <f>Washoe!O85</f>
        <v>6133731.6018972332</v>
      </c>
      <c r="O21" s="129">
        <f>Washoe!P85</f>
        <v>60641.29117259552</v>
      </c>
      <c r="P21" s="130">
        <f>Washoe!Q85</f>
        <v>185570102.28531948</v>
      </c>
      <c r="S21" s="352">
        <f t="shared" si="0"/>
        <v>24742680304.709263</v>
      </c>
      <c r="T21" s="353">
        <v>1580723.5</v>
      </c>
      <c r="U21" s="353">
        <f t="shared" si="1"/>
        <v>24744261028.209263</v>
      </c>
      <c r="V21" s="353">
        <f>8985.9</f>
        <v>8985.9</v>
      </c>
      <c r="W21" s="353">
        <v>4654.7299999999996</v>
      </c>
      <c r="X21" s="364">
        <v>19654.61</v>
      </c>
      <c r="AA21" s="377">
        <v>17168.16</v>
      </c>
      <c r="AB21" s="377">
        <f t="shared" si="2"/>
        <v>-8182.26</v>
      </c>
    </row>
    <row r="22" spans="1:28">
      <c r="A22" s="94" t="s">
        <v>270</v>
      </c>
      <c r="B22" s="128">
        <f>'White Pine'!B67</f>
        <v>0.75</v>
      </c>
      <c r="C22" s="128">
        <f>'White Pine'!C67</f>
        <v>0</v>
      </c>
      <c r="D22" s="136">
        <f>'White Pine'!D67</f>
        <v>7727</v>
      </c>
      <c r="E22" s="136">
        <f>'White Pine'!F67</f>
        <v>599346920.14333332</v>
      </c>
      <c r="F22" s="137">
        <f>'White Pine'!G67</f>
        <v>679984.85398648656</v>
      </c>
      <c r="G22" s="137">
        <f>'White Pine'!H67</f>
        <v>3831537.8985135132</v>
      </c>
      <c r="H22" s="137">
        <f>'White Pine'!I67</f>
        <v>0</v>
      </c>
      <c r="I22" s="137">
        <f>'White Pine'!J67</f>
        <v>16068.697267267267</v>
      </c>
      <c r="J22" s="137">
        <f>'White Pine'!K67</f>
        <v>256.58999999999997</v>
      </c>
      <c r="K22" s="137">
        <f>'White Pine'!L67</f>
        <v>4495710.6452327324</v>
      </c>
      <c r="L22" s="137">
        <f>'White Pine'!M67</f>
        <v>521762.24717717717</v>
      </c>
      <c r="M22" s="137">
        <f>'White Pine'!N67</f>
        <v>3973948.3980555558</v>
      </c>
      <c r="N22" s="137">
        <f>'White Pine'!O67</f>
        <v>39694.28</v>
      </c>
      <c r="O22" s="137">
        <f>'White Pine'!P67</f>
        <v>92288.003003003003</v>
      </c>
      <c r="P22" s="137">
        <f>'White Pine'!Q67</f>
        <v>3841966.1150525524</v>
      </c>
      <c r="S22" s="352">
        <f t="shared" si="0"/>
        <v>512262148.67367363</v>
      </c>
      <c r="T22" s="353">
        <v>61269021.560000002</v>
      </c>
      <c r="U22" s="353">
        <f t="shared" si="1"/>
        <v>573531170.23367357</v>
      </c>
      <c r="V22" s="353">
        <f>471000.98</f>
        <v>471000.98</v>
      </c>
      <c r="W22" s="353">
        <v>160358.32</v>
      </c>
      <c r="X22" s="364">
        <v>1811006.61</v>
      </c>
      <c r="AA22" s="377">
        <v>612077.52</v>
      </c>
      <c r="AB22" s="377">
        <f t="shared" si="2"/>
        <v>-141076.54000000004</v>
      </c>
    </row>
    <row r="23" spans="1:28">
      <c r="S23" s="348"/>
      <c r="T23" s="353"/>
      <c r="U23" s="348"/>
      <c r="V23" s="348"/>
      <c r="W23" s="348"/>
      <c r="X23" s="359"/>
      <c r="AA23" s="379"/>
      <c r="AB23" s="379"/>
    </row>
    <row r="24" spans="1:28" s="50" customFormat="1" ht="13.5" thickBot="1">
      <c r="A24" s="138" t="s">
        <v>226</v>
      </c>
      <c r="B24" s="51"/>
      <c r="C24" s="51"/>
      <c r="D24" s="69">
        <f>SUM(D6:D22)</f>
        <v>1310897</v>
      </c>
      <c r="E24" s="69">
        <f>SUM(E6:E22)</f>
        <v>246346881473.08997</v>
      </c>
      <c r="F24" s="58">
        <f t="shared" ref="F24:P24" si="3">SUM(F6:F22)</f>
        <v>65378880.27694805</v>
      </c>
      <c r="G24" s="58">
        <f t="shared" si="3"/>
        <v>1727927916.6373227</v>
      </c>
      <c r="H24" s="58">
        <f t="shared" si="3"/>
        <v>0</v>
      </c>
      <c r="I24" s="58">
        <f t="shared" si="3"/>
        <v>154008000.79956764</v>
      </c>
      <c r="J24" s="58">
        <f t="shared" si="3"/>
        <v>20199</v>
      </c>
      <c r="K24" s="58">
        <f t="shared" si="3"/>
        <v>1639318995.1147025</v>
      </c>
      <c r="L24" s="58">
        <f t="shared" si="3"/>
        <v>310680447.14848155</v>
      </c>
      <c r="M24" s="58">
        <f t="shared" si="3"/>
        <v>1328638547.9662211</v>
      </c>
      <c r="N24" s="58">
        <f t="shared" si="3"/>
        <v>8782586.4713163432</v>
      </c>
      <c r="O24" s="58">
        <f t="shared" si="3"/>
        <v>2139625.3163942299</v>
      </c>
      <c r="P24" s="58">
        <f t="shared" si="3"/>
        <v>1312394494.9326892</v>
      </c>
      <c r="S24" s="356">
        <f t="shared" ref="S24:X24" si="4">SUM(S6:S22)</f>
        <v>174985932657.69189</v>
      </c>
      <c r="T24" s="356">
        <f t="shared" si="4"/>
        <v>2505584612.52</v>
      </c>
      <c r="U24" s="356">
        <f t="shared" si="4"/>
        <v>177491517270.21188</v>
      </c>
      <c r="V24" s="357">
        <f t="shared" si="4"/>
        <v>19331264.84</v>
      </c>
      <c r="W24" s="357">
        <f t="shared" si="4"/>
        <v>2750831.78</v>
      </c>
      <c r="X24" s="366">
        <f t="shared" si="4"/>
        <v>17816000.460000001</v>
      </c>
      <c r="AA24" s="380">
        <f>SUM(AA6:AA22)</f>
        <v>22447282.479999997</v>
      </c>
      <c r="AB24" s="380">
        <f>SUM(AB6:AB22)</f>
        <v>-3116017.6399999992</v>
      </c>
    </row>
    <row r="25" spans="1:28">
      <c r="S25" s="348"/>
      <c r="T25" s="348"/>
      <c r="U25" s="348"/>
      <c r="V25" s="348"/>
      <c r="W25" s="348"/>
      <c r="X25" s="359"/>
    </row>
    <row r="26" spans="1:28" s="50" customFormat="1" ht="13.5" customHeight="1">
      <c r="A26" s="139"/>
      <c r="B26" s="51"/>
      <c r="C26" s="51"/>
      <c r="D26" s="52"/>
      <c r="E26" s="52"/>
      <c r="F26" s="59"/>
      <c r="G26" s="59"/>
      <c r="H26" s="59"/>
      <c r="I26" s="59"/>
      <c r="J26" s="59"/>
      <c r="K26" s="276" t="s">
        <v>388</v>
      </c>
      <c r="L26" s="277">
        <f>L24/K24</f>
        <v>0.18951799379762777</v>
      </c>
      <c r="M26" s="59"/>
      <c r="N26" s="59"/>
      <c r="O26" s="59"/>
      <c r="P26" s="59"/>
      <c r="S26" s="358"/>
      <c r="T26" s="358"/>
      <c r="U26" s="358"/>
      <c r="V26" s="358"/>
      <c r="W26" s="358"/>
      <c r="X26" s="367"/>
    </row>
    <row r="27" spans="1:28" ht="15.75">
      <c r="A27" s="127" t="s">
        <v>273</v>
      </c>
    </row>
    <row r="28" spans="1:28" hidden="1">
      <c r="A28" s="140"/>
    </row>
    <row r="29" spans="1:28" s="4" customFormat="1" ht="15.75" customHeight="1">
      <c r="A29" s="106"/>
      <c r="B29" s="5">
        <v>-1</v>
      </c>
      <c r="C29" s="5">
        <v>-2</v>
      </c>
      <c r="D29" s="5">
        <v>-3</v>
      </c>
      <c r="E29" s="5">
        <v>-4</v>
      </c>
      <c r="F29" s="5">
        <v>-5</v>
      </c>
      <c r="G29" s="5">
        <v>-6</v>
      </c>
      <c r="H29" s="5">
        <v>-7</v>
      </c>
      <c r="I29" s="5">
        <v>-8</v>
      </c>
      <c r="J29" s="5">
        <v>-9</v>
      </c>
      <c r="K29" s="5">
        <v>-10</v>
      </c>
      <c r="L29" s="5">
        <v>-11</v>
      </c>
      <c r="M29" s="5">
        <v>-12</v>
      </c>
      <c r="N29" s="5">
        <v>-13</v>
      </c>
      <c r="O29" s="164">
        <v>-14</v>
      </c>
      <c r="P29" s="5">
        <v>-15</v>
      </c>
    </row>
    <row r="30" spans="1:28" s="9" customFormat="1" ht="94.5" customHeight="1" thickBot="1">
      <c r="A30" s="6" t="s">
        <v>13</v>
      </c>
      <c r="B30" s="7" t="str">
        <f>B4</f>
        <v xml:space="preserve">PROPOSED FY 27 TAX RATE   </v>
      </c>
      <c r="C30" s="7" t="str">
        <f>C4</f>
        <v xml:space="preserve">PROPOSED FY 27 TAX RATE   </v>
      </c>
      <c r="D30" s="8" t="s">
        <v>2</v>
      </c>
      <c r="E30" s="8" t="s">
        <v>191</v>
      </c>
      <c r="F30" s="107" t="s">
        <v>3</v>
      </c>
      <c r="G30" s="107" t="s">
        <v>4</v>
      </c>
      <c r="H30" s="107" t="s">
        <v>5</v>
      </c>
      <c r="I30" s="107" t="s">
        <v>6</v>
      </c>
      <c r="J30" s="107" t="s">
        <v>7</v>
      </c>
      <c r="K30" s="107" t="s">
        <v>353</v>
      </c>
      <c r="L30" s="107" t="s">
        <v>8</v>
      </c>
      <c r="M30" s="107" t="s">
        <v>357</v>
      </c>
      <c r="N30" s="107" t="s">
        <v>9</v>
      </c>
      <c r="O30" s="8" t="s">
        <v>397</v>
      </c>
      <c r="P30" s="8" t="s">
        <v>418</v>
      </c>
    </row>
    <row r="31" spans="1:28" s="135" customFormat="1" ht="11.25">
      <c r="A31" s="131"/>
      <c r="B31" s="132"/>
      <c r="C31" s="132"/>
      <c r="D31" s="133"/>
      <c r="E31" s="133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</row>
    <row r="32" spans="1:28">
      <c r="A32" s="94" t="s">
        <v>0</v>
      </c>
      <c r="B32" s="128">
        <f>'Carson City'!B78</f>
        <v>0.43</v>
      </c>
      <c r="C32" s="128">
        <f>'Carson City'!C78</f>
        <v>0</v>
      </c>
      <c r="D32" s="129">
        <f>'Carson City'!D78</f>
        <v>20783</v>
      </c>
      <c r="E32" s="129">
        <f>'Carson City'!F78</f>
        <v>2720406206.8265119</v>
      </c>
      <c r="F32" s="130">
        <f>'Carson City'!G78</f>
        <v>450987.224781356</v>
      </c>
      <c r="G32" s="130">
        <f>'Carson City'!H78</f>
        <v>11298948.954250848</v>
      </c>
      <c r="H32" s="130">
        <f>'Carson City'!I78</f>
        <v>0</v>
      </c>
      <c r="I32" s="130">
        <f>'Carson City'!J78</f>
        <v>41506.456186440679</v>
      </c>
      <c r="J32" s="130">
        <f>'Carson City'!K78</f>
        <v>58.78</v>
      </c>
      <c r="K32" s="130">
        <f>'Carson City'!L78</f>
        <v>11708488.502845762</v>
      </c>
      <c r="L32" s="130">
        <f>'Carson City'!M78</f>
        <v>1569511.1325423729</v>
      </c>
      <c r="M32" s="130">
        <f>'Carson City'!N78</f>
        <v>10138977.370303391</v>
      </c>
      <c r="N32" s="130">
        <f>'Carson City'!O78</f>
        <v>4693.6249152542377</v>
      </c>
      <c r="O32" s="130">
        <f>'Carson City'!P78</f>
        <v>0</v>
      </c>
      <c r="P32" s="130">
        <f>'Carson City'!Q78</f>
        <v>10134283.745388137</v>
      </c>
    </row>
    <row r="33" spans="1:16">
      <c r="A33" s="94" t="s">
        <v>255</v>
      </c>
      <c r="B33" s="128">
        <f>'Churchill '!B82</f>
        <v>0.55000000000000004</v>
      </c>
      <c r="C33" s="128">
        <f>'Churchill '!C82</f>
        <v>0</v>
      </c>
      <c r="D33" s="129">
        <f>'Churchill '!D82</f>
        <v>12371</v>
      </c>
      <c r="E33" s="129">
        <f>'Churchill '!F82</f>
        <v>1251367488.9118178</v>
      </c>
      <c r="F33" s="130">
        <f>'Churchill '!G82</f>
        <v>432213.96730769239</v>
      </c>
      <c r="G33" s="130">
        <f>'Churchill '!H82</f>
        <v>6515329.3359615384</v>
      </c>
      <c r="H33" s="130">
        <f>'Churchill '!I82</f>
        <v>0</v>
      </c>
      <c r="I33" s="130">
        <f>'Churchill '!J82</f>
        <v>64442.74384615384</v>
      </c>
      <c r="J33" s="130">
        <f>'Churchill '!K82</f>
        <v>110.69</v>
      </c>
      <c r="K33" s="130">
        <f>'Churchill '!L82</f>
        <v>6883211.2494230764</v>
      </c>
      <c r="L33" s="130">
        <f>'Churchill '!M82</f>
        <v>772267.04884615389</v>
      </c>
      <c r="M33" s="130">
        <f>'Churchill '!N82</f>
        <v>6110944.2005769229</v>
      </c>
      <c r="N33" s="130">
        <f>'Churchill '!O82</f>
        <v>0</v>
      </c>
      <c r="O33" s="130">
        <f>'Churchill '!P82</f>
        <v>18207.872692307694</v>
      </c>
      <c r="P33" s="130">
        <f>'Churchill '!Q82</f>
        <v>6092736.3278846154</v>
      </c>
    </row>
    <row r="34" spans="1:16">
      <c r="A34" s="94" t="s">
        <v>256</v>
      </c>
      <c r="B34" s="128">
        <f>Clark!B121</f>
        <v>0.5534</v>
      </c>
      <c r="C34" s="128">
        <f>Clark!C121</f>
        <v>0</v>
      </c>
      <c r="D34" s="129">
        <f>Clark!D121</f>
        <v>860904</v>
      </c>
      <c r="E34" s="129">
        <f>Clark!F121</f>
        <v>181068313048.52911</v>
      </c>
      <c r="F34" s="130">
        <f>Clark!G121</f>
        <v>21418773.215824764</v>
      </c>
      <c r="G34" s="130">
        <f>Clark!H121</f>
        <v>981496926.07706606</v>
      </c>
      <c r="H34" s="130">
        <f>Clark!I121</f>
        <v>0</v>
      </c>
      <c r="I34" s="130">
        <f>Clark!J121</f>
        <v>94503385.475000769</v>
      </c>
      <c r="J34" s="130">
        <f>Clark!K121</f>
        <v>0</v>
      </c>
      <c r="K34" s="130">
        <f>Clark!L121</f>
        <v>908412313.81789005</v>
      </c>
      <c r="L34" s="130">
        <f>Clark!M121</f>
        <v>183652061.48991713</v>
      </c>
      <c r="M34" s="130">
        <f>Clark!N121</f>
        <v>724760252.32797289</v>
      </c>
      <c r="N34" s="130">
        <f>Clark!O121</f>
        <v>274001.4468421053</v>
      </c>
      <c r="O34" s="130">
        <f>Clark!P121</f>
        <v>240751.1079775971</v>
      </c>
      <c r="P34" s="130">
        <f>Clark!Q121</f>
        <v>724245499.77315319</v>
      </c>
    </row>
    <row r="35" spans="1:16">
      <c r="A35" s="94" t="s">
        <v>257</v>
      </c>
      <c r="B35" s="128">
        <f>Douglas!B105</f>
        <v>0.1</v>
      </c>
      <c r="C35" s="128">
        <f>Douglas!C105</f>
        <v>0</v>
      </c>
      <c r="D35" s="129">
        <f>Douglas!D105</f>
        <v>27985</v>
      </c>
      <c r="E35" s="129">
        <f>Douglas!F105</f>
        <v>5214250875.7200003</v>
      </c>
      <c r="F35" s="130">
        <f>Douglas!G105</f>
        <v>159444.97994117648</v>
      </c>
      <c r="G35" s="130">
        <f>Douglas!H105</f>
        <v>5074892.3229411766</v>
      </c>
      <c r="H35" s="130">
        <f>Douglas!I105</f>
        <v>0</v>
      </c>
      <c r="I35" s="130">
        <f>Douglas!J105</f>
        <v>20128.125294117646</v>
      </c>
      <c r="J35" s="130">
        <f>Douglas!K105</f>
        <v>162.57</v>
      </c>
      <c r="K35" s="130">
        <f>Douglas!L105</f>
        <v>5214371.747588235</v>
      </c>
      <c r="L35" s="130">
        <f>Douglas!M105</f>
        <v>633423.42470588232</v>
      </c>
      <c r="M35" s="130">
        <f>Douglas!N105</f>
        <v>4580948.3228823524</v>
      </c>
      <c r="N35" s="130">
        <f>Douglas!O105</f>
        <v>4.9488235294117651</v>
      </c>
      <c r="O35" s="130">
        <f>Douglas!P105</f>
        <v>0</v>
      </c>
      <c r="P35" s="130">
        <f>Douglas!Q105</f>
        <v>4580943.3740588231</v>
      </c>
    </row>
    <row r="36" spans="1:16">
      <c r="A36" s="193" t="s">
        <v>258</v>
      </c>
      <c r="B36" s="194"/>
      <c r="C36" s="194"/>
      <c r="D36" s="195"/>
      <c r="E36" s="19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</row>
    <row r="37" spans="1:16">
      <c r="A37" s="193" t="s">
        <v>259</v>
      </c>
      <c r="B37" s="194"/>
      <c r="C37" s="194"/>
      <c r="D37" s="195"/>
      <c r="E37" s="19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</row>
    <row r="38" spans="1:16" s="398" customFormat="1">
      <c r="A38" s="394" t="s">
        <v>260</v>
      </c>
      <c r="B38" s="395"/>
      <c r="C38" s="395"/>
      <c r="D38" s="396"/>
      <c r="E38" s="396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</row>
    <row r="39" spans="1:16">
      <c r="A39" s="94" t="s">
        <v>261</v>
      </c>
      <c r="B39" s="128">
        <f>Humboldt!B93</f>
        <v>0.13500000000000001</v>
      </c>
      <c r="C39" s="128">
        <f>Humboldt!C93</f>
        <v>0</v>
      </c>
      <c r="D39" s="129">
        <f>Humboldt!D93</f>
        <v>15940</v>
      </c>
      <c r="E39" s="129">
        <f>Humboldt!F93</f>
        <v>1472840623.0033333</v>
      </c>
      <c r="F39" s="130">
        <f>Humboldt!G93</f>
        <v>418239.14422118646</v>
      </c>
      <c r="G39" s="130">
        <f>Humboldt!H93</f>
        <v>1676291.0801474578</v>
      </c>
      <c r="H39" s="130">
        <f>Humboldt!I93</f>
        <v>0</v>
      </c>
      <c r="I39" s="130">
        <f>Humboldt!J93</f>
        <v>106199.82762711865</v>
      </c>
      <c r="J39" s="130">
        <f>Humboldt!K93</f>
        <v>14.16</v>
      </c>
      <c r="K39" s="130">
        <f>Humboldt!L93</f>
        <v>1988344.5567415254</v>
      </c>
      <c r="L39" s="130">
        <f>Humboldt!M93</f>
        <v>62353.350508474578</v>
      </c>
      <c r="M39" s="130">
        <f>Humboldt!N93</f>
        <v>1925991.2062330509</v>
      </c>
      <c r="N39" s="130">
        <f>Humboldt!O93</f>
        <v>0</v>
      </c>
      <c r="O39" s="130">
        <f>Humboldt!P93</f>
        <v>15200</v>
      </c>
      <c r="P39" s="130">
        <f>Humboldt!Q93</f>
        <v>1910791.2062330509</v>
      </c>
    </row>
    <row r="40" spans="1:16">
      <c r="A40" s="193" t="s">
        <v>262</v>
      </c>
      <c r="B40" s="194"/>
      <c r="C40" s="194"/>
      <c r="D40" s="195"/>
      <c r="E40" s="195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</row>
    <row r="41" spans="1:16">
      <c r="A41" s="94" t="s">
        <v>263</v>
      </c>
      <c r="B41" s="128">
        <f>Lincoln!B95</f>
        <v>0.22309999999999999</v>
      </c>
      <c r="C41" s="128">
        <f>Lincoln!C95</f>
        <v>0</v>
      </c>
      <c r="D41" s="129">
        <f>Lincoln!D95</f>
        <v>4681</v>
      </c>
      <c r="E41" s="129">
        <f>Lincoln!F95</f>
        <v>407450780.63999999</v>
      </c>
      <c r="F41" s="130">
        <f>Lincoln!G95</f>
        <v>52992.741869283738</v>
      </c>
      <c r="G41" s="130">
        <f>Lincoln!H95</f>
        <v>899532.44393926521</v>
      </c>
      <c r="H41" s="130">
        <f>Lincoln!I95</f>
        <v>0</v>
      </c>
      <c r="I41" s="130">
        <f>Lincoln!J95</f>
        <v>43502.559399856131</v>
      </c>
      <c r="J41" s="130">
        <f>Lincoln!K95</f>
        <v>191.14</v>
      </c>
      <c r="K41" s="130">
        <f>Lincoln!L95</f>
        <v>909213.76640869281</v>
      </c>
      <c r="L41" s="130">
        <f>Lincoln!M95</f>
        <v>62812.463409721502</v>
      </c>
      <c r="M41" s="130">
        <f>Lincoln!N95</f>
        <v>846401.30299897119</v>
      </c>
      <c r="N41" s="130">
        <f>Lincoln!O95</f>
        <v>0</v>
      </c>
      <c r="O41" s="130">
        <f>Lincoln!P95</f>
        <v>117746.1741424314</v>
      </c>
      <c r="P41" s="130">
        <f>Lincoln!Q95</f>
        <v>728655.12885653984</v>
      </c>
    </row>
    <row r="42" spans="1:16">
      <c r="A42" s="94" t="s">
        <v>264</v>
      </c>
      <c r="B42" s="128">
        <f>'Lyon '!B90</f>
        <v>0.5867</v>
      </c>
      <c r="C42" s="128">
        <f>'Lyon '!C90</f>
        <v>0</v>
      </c>
      <c r="D42" s="129">
        <f>'Lyon '!D90</f>
        <v>34069</v>
      </c>
      <c r="E42" s="129">
        <f>'Lyon '!F90</f>
        <v>3575678643.6971879</v>
      </c>
      <c r="F42" s="130">
        <f>'Lyon '!G90</f>
        <v>1096596.5400919574</v>
      </c>
      <c r="G42" s="130">
        <f>'Lyon '!H90</f>
        <v>20167999.52523962</v>
      </c>
      <c r="H42" s="130">
        <f>'Lyon '!I90</f>
        <v>0</v>
      </c>
      <c r="I42" s="130">
        <f>'Lyon '!J90</f>
        <v>286252.70820977032</v>
      </c>
      <c r="J42" s="130">
        <f>'Lyon '!K90</f>
        <v>304.02</v>
      </c>
      <c r="K42" s="130">
        <f>'Lyon '!L90</f>
        <v>20978647.37712181</v>
      </c>
      <c r="L42" s="130">
        <f>'Lyon '!M90</f>
        <v>5727274.8104578434</v>
      </c>
      <c r="M42" s="130">
        <f>'Lyon '!N90</f>
        <v>15251372.566663964</v>
      </c>
      <c r="N42" s="130">
        <f>'Lyon '!O90</f>
        <v>0</v>
      </c>
      <c r="O42" s="130">
        <f>'Lyon '!P90</f>
        <v>34480.521838108776</v>
      </c>
      <c r="P42" s="130">
        <f>'Lyon '!Q90</f>
        <v>15216892.044825854</v>
      </c>
    </row>
    <row r="43" spans="1:16">
      <c r="A43" s="94" t="s">
        <v>265</v>
      </c>
      <c r="B43" s="128">
        <f>Mineral!B75</f>
        <v>0.25</v>
      </c>
      <c r="C43" s="128">
        <f>Mineral!C75</f>
        <v>0</v>
      </c>
      <c r="D43" s="129">
        <f>Mineral!D75</f>
        <v>3596</v>
      </c>
      <c r="E43" s="129">
        <f>Mineral!F75</f>
        <v>184585693.73999998</v>
      </c>
      <c r="F43" s="130">
        <f>Mineral!G75</f>
        <v>212557.85249999998</v>
      </c>
      <c r="G43" s="130">
        <f>Mineral!H75</f>
        <v>520309.745</v>
      </c>
      <c r="H43" s="130">
        <f>Mineral!I75</f>
        <v>0</v>
      </c>
      <c r="I43" s="130">
        <f>Mineral!J75</f>
        <v>91210.377500000002</v>
      </c>
      <c r="J43" s="130">
        <f>Mineral!K75</f>
        <v>33.549999999999997</v>
      </c>
      <c r="K43" s="130">
        <f>Mineral!L75</f>
        <v>641690.77000000014</v>
      </c>
      <c r="L43" s="130">
        <f>Mineral!M75</f>
        <v>15620.122500000001</v>
      </c>
      <c r="M43" s="130">
        <f>Mineral!N75</f>
        <v>626070.64750000008</v>
      </c>
      <c r="N43" s="130">
        <f>Mineral!O75</f>
        <v>0</v>
      </c>
      <c r="O43" s="130">
        <f>Mineral!P75</f>
        <v>60517.875</v>
      </c>
      <c r="P43" s="130">
        <f>Mineral!Q75</f>
        <v>565552.77250000008</v>
      </c>
    </row>
    <row r="44" spans="1:16">
      <c r="A44" s="94" t="s">
        <v>266</v>
      </c>
      <c r="B44" s="128">
        <f>'Nye '!B96</f>
        <v>0.58499999999999996</v>
      </c>
      <c r="C44" s="128">
        <f>'Nye '!C96</f>
        <v>0</v>
      </c>
      <c r="D44" s="129">
        <f>'Nye '!D96</f>
        <v>58339</v>
      </c>
      <c r="E44" s="129">
        <f>'Nye '!F96</f>
        <v>2524073918.2327352</v>
      </c>
      <c r="F44" s="130">
        <f>'Nye '!G96</f>
        <v>1305881.6937589883</v>
      </c>
      <c r="G44" s="130">
        <f>'Nye '!H96</f>
        <v>14028429.112576965</v>
      </c>
      <c r="H44" s="130">
        <f>'Nye '!I96</f>
        <v>0</v>
      </c>
      <c r="I44" s="130">
        <f>'Nye '!J96</f>
        <v>566771.36966292129</v>
      </c>
      <c r="J44" s="130">
        <f>'Nye '!K96</f>
        <v>879.8</v>
      </c>
      <c r="K44" s="130">
        <f>'Nye '!L96</f>
        <v>14768419.236673035</v>
      </c>
      <c r="L44" s="130">
        <f>'Nye '!M96</f>
        <v>2790675.8779775281</v>
      </c>
      <c r="M44" s="130">
        <f>'Nye '!N96</f>
        <v>11977743.358695507</v>
      </c>
      <c r="N44" s="130">
        <f>'Nye '!O96</f>
        <v>0</v>
      </c>
      <c r="O44" s="130">
        <f>'Nye '!P96</f>
        <v>291091.99134831462</v>
      </c>
      <c r="P44" s="130">
        <f>'Nye '!Q96</f>
        <v>11686651.36734719</v>
      </c>
    </row>
    <row r="45" spans="1:16">
      <c r="A45" s="94" t="s">
        <v>267</v>
      </c>
      <c r="B45" s="128">
        <f>Pershing!B82</f>
        <v>0.4</v>
      </c>
      <c r="C45" s="128">
        <f>Pershing!C82</f>
        <v>0</v>
      </c>
      <c r="D45" s="129">
        <f>Pershing!D82</f>
        <v>10681</v>
      </c>
      <c r="E45" s="129">
        <f>Pershing!F82</f>
        <v>643973850.41999996</v>
      </c>
      <c r="F45" s="130">
        <f>Pershing!G82</f>
        <v>56523.144347826099</v>
      </c>
      <c r="G45" s="130">
        <f>Pershing!H82</f>
        <v>2533647.4555652174</v>
      </c>
      <c r="H45" s="130">
        <f>Pershing!I82</f>
        <v>0</v>
      </c>
      <c r="I45" s="130">
        <f>Pershing!J82</f>
        <v>14200.733043478263</v>
      </c>
      <c r="J45" s="130">
        <f>Pershing!K82</f>
        <v>59.58</v>
      </c>
      <c r="K45" s="130">
        <f>Pershing!L82</f>
        <v>2576029.4468695656</v>
      </c>
      <c r="L45" s="130">
        <f>Pershing!M82</f>
        <v>71953.972608695651</v>
      </c>
      <c r="M45" s="130">
        <f>Pershing!N82</f>
        <v>2504075.4742608694</v>
      </c>
      <c r="N45" s="130">
        <f>Pershing!O82</f>
        <v>0</v>
      </c>
      <c r="O45" s="130">
        <f>Pershing!P82</f>
        <v>38480.674782608701</v>
      </c>
      <c r="P45" s="130">
        <f>Pershing!Q82</f>
        <v>2465594.7994782608</v>
      </c>
    </row>
    <row r="46" spans="1:16">
      <c r="A46" s="94" t="s">
        <v>268</v>
      </c>
      <c r="B46" s="128">
        <f>Storey!B77</f>
        <v>0.1447</v>
      </c>
      <c r="C46" s="128">
        <f>Storey!C77</f>
        <v>0</v>
      </c>
      <c r="D46" s="129">
        <f>Storey!D77</f>
        <v>4805</v>
      </c>
      <c r="E46" s="129">
        <f>Storey!F77</f>
        <v>5636417065.881381</v>
      </c>
      <c r="F46" s="130">
        <f>Storey!G77</f>
        <v>2003844.474904042</v>
      </c>
      <c r="G46" s="130">
        <f>Storey!H77</f>
        <v>6167716.3604516238</v>
      </c>
      <c r="H46" s="130">
        <f>Storey!I77</f>
        <v>0</v>
      </c>
      <c r="I46" s="130">
        <f>Storey!J77</f>
        <v>15615.439873700681</v>
      </c>
      <c r="J46" s="130">
        <f>Storey!K77</f>
        <v>2876.82</v>
      </c>
      <c r="K46" s="130">
        <f>Storey!L77</f>
        <v>8158822.2154819639</v>
      </c>
      <c r="L46" s="130">
        <f>Storey!M77</f>
        <v>334454.4397541075</v>
      </c>
      <c r="M46" s="130">
        <f>Storey!N77</f>
        <v>7824367.7757278578</v>
      </c>
      <c r="N46" s="130">
        <f>Storey!O77</f>
        <v>0</v>
      </c>
      <c r="O46" s="130">
        <f>Storey!P77</f>
        <v>0</v>
      </c>
      <c r="P46" s="130">
        <f>Storey!Q77</f>
        <v>7824367.7757278578</v>
      </c>
    </row>
    <row r="47" spans="1:16">
      <c r="A47" s="94" t="s">
        <v>269</v>
      </c>
      <c r="B47" s="128">
        <f>Washoe!B97</f>
        <v>0.38850000000000001</v>
      </c>
      <c r="C47" s="128">
        <f>Washoe!C97</f>
        <v>0</v>
      </c>
      <c r="D47" s="129">
        <f>Washoe!D97</f>
        <v>192380</v>
      </c>
      <c r="E47" s="129">
        <f>Washoe!F97</f>
        <v>36303710907.859009</v>
      </c>
      <c r="F47" s="130">
        <f>Washoe!G97</f>
        <v>6488374.8888021689</v>
      </c>
      <c r="G47" s="130">
        <f>Washoe!H97</f>
        <v>134650541.98236156</v>
      </c>
      <c r="H47" s="130">
        <f>Washoe!I97</f>
        <v>0</v>
      </c>
      <c r="I47" s="130">
        <f>Washoe!J97</f>
        <v>14660094.592055336</v>
      </c>
      <c r="J47" s="130">
        <f>Washoe!K97</f>
        <v>615.85</v>
      </c>
      <c r="K47" s="130">
        <f>Washoe!L97</f>
        <v>126479438.12910837</v>
      </c>
      <c r="L47" s="130">
        <f>Washoe!M97</f>
        <v>24388793.18546772</v>
      </c>
      <c r="M47" s="130">
        <f>Washoe!N97</f>
        <v>102090644.94364065</v>
      </c>
      <c r="N47" s="130">
        <f>Washoe!O97</f>
        <v>34402.888102766796</v>
      </c>
      <c r="O47" s="130">
        <f>Washoe!P97</f>
        <v>31412.188827404476</v>
      </c>
      <c r="P47" s="130">
        <f>Washoe!Q97</f>
        <v>102024829.86671047</v>
      </c>
    </row>
    <row r="48" spans="1:16">
      <c r="A48" s="94" t="s">
        <v>270</v>
      </c>
      <c r="B48" s="128">
        <f>'White Pine'!B79</f>
        <v>0.249</v>
      </c>
      <c r="C48" s="128">
        <f>'White Pine'!C79</f>
        <v>0</v>
      </c>
      <c r="D48" s="129">
        <f>'White Pine'!D79</f>
        <v>7727</v>
      </c>
      <c r="E48" s="129">
        <f>'White Pine'!F79</f>
        <v>599347124.88228929</v>
      </c>
      <c r="F48" s="130">
        <f>'White Pine'!G79</f>
        <v>225754.97152351349</v>
      </c>
      <c r="G48" s="130">
        <f>'White Pine'!H79</f>
        <v>1272067.0729464863</v>
      </c>
      <c r="H48" s="130">
        <f>'White Pine'!I79</f>
        <v>0</v>
      </c>
      <c r="I48" s="130">
        <f>'White Pine'!J79</f>
        <v>5334.4027327327321</v>
      </c>
      <c r="J48" s="130">
        <f>'White Pine'!K79</f>
        <v>85.18</v>
      </c>
      <c r="K48" s="130">
        <f>'White Pine'!L79</f>
        <v>1492572.8217372671</v>
      </c>
      <c r="L48" s="130">
        <f>'White Pine'!M79</f>
        <v>173225.60282282284</v>
      </c>
      <c r="M48" s="130">
        <f>'White Pine'!N79</f>
        <v>1319347.2189144443</v>
      </c>
      <c r="N48" s="130">
        <f>'White Pine'!O79</f>
        <v>13178.51</v>
      </c>
      <c r="O48" s="130">
        <f>'White Pine'!P79</f>
        <v>30043.616996996996</v>
      </c>
      <c r="P48" s="130">
        <f>'White Pine'!Q79</f>
        <v>1276125.0919174475</v>
      </c>
    </row>
    <row r="49" spans="1:16" s="50" customFormat="1" ht="12" customHeight="1">
      <c r="A49" s="138"/>
      <c r="B49" s="51"/>
      <c r="C49" s="51"/>
      <c r="D49" s="52"/>
      <c r="E49" s="52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6" s="50" customFormat="1" ht="13.5" thickBot="1">
      <c r="A50" s="138" t="s">
        <v>226</v>
      </c>
      <c r="B50" s="51"/>
      <c r="C50" s="51"/>
      <c r="D50" s="141">
        <f>SUM(D32:D48)</f>
        <v>1254261</v>
      </c>
      <c r="E50" s="141">
        <f t="shared" ref="E50:P50" si="5">SUM(E32:E48)</f>
        <v>241602416228.34338</v>
      </c>
      <c r="F50" s="58">
        <f t="shared" si="5"/>
        <v>34322184.839873955</v>
      </c>
      <c r="G50" s="58">
        <f t="shared" si="5"/>
        <v>1186302631.4684477</v>
      </c>
      <c r="H50" s="58">
        <f t="shared" si="5"/>
        <v>0</v>
      </c>
      <c r="I50" s="58">
        <f t="shared" si="5"/>
        <v>110418644.81043239</v>
      </c>
      <c r="J50" s="58">
        <f t="shared" si="5"/>
        <v>5392.14</v>
      </c>
      <c r="K50" s="58">
        <f t="shared" si="5"/>
        <v>1110211563.6378894</v>
      </c>
      <c r="L50" s="58">
        <f t="shared" si="5"/>
        <v>220254426.92151845</v>
      </c>
      <c r="M50" s="58">
        <f t="shared" si="5"/>
        <v>889957136.71637094</v>
      </c>
      <c r="N50" s="58">
        <f t="shared" si="5"/>
        <v>326281.41868365579</v>
      </c>
      <c r="O50" s="58">
        <f>SUM(O32:O48)</f>
        <v>877932.02360576985</v>
      </c>
      <c r="P50" s="58">
        <f t="shared" si="5"/>
        <v>888752923.27408147</v>
      </c>
    </row>
    <row r="51" spans="1:16" ht="13.5" hidden="1" thickTop="1"/>
    <row r="52" spans="1:16" hidden="1">
      <c r="A52" s="138"/>
    </row>
    <row r="53" spans="1:16" ht="13.5" thickTop="1"/>
    <row r="54" spans="1:16" s="135" customFormat="1" ht="15.75">
      <c r="A54" s="127" t="s">
        <v>290</v>
      </c>
      <c r="B54" s="132"/>
      <c r="C54" s="132"/>
      <c r="D54" s="133"/>
      <c r="E54" s="133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</row>
    <row r="56" spans="1:16" s="4" customFormat="1" ht="15.75" customHeight="1">
      <c r="A56" s="106"/>
      <c r="B56" s="5">
        <v>-1</v>
      </c>
      <c r="C56" s="5">
        <v>-2</v>
      </c>
      <c r="D56" s="5">
        <v>-3</v>
      </c>
      <c r="E56" s="5">
        <v>-4</v>
      </c>
      <c r="F56" s="5">
        <v>-5</v>
      </c>
      <c r="G56" s="5">
        <v>-6</v>
      </c>
      <c r="H56" s="5">
        <v>-7</v>
      </c>
      <c r="I56" s="5">
        <v>-8</v>
      </c>
      <c r="J56" s="5">
        <v>-9</v>
      </c>
      <c r="K56" s="5">
        <v>-10</v>
      </c>
      <c r="L56" s="5">
        <v>-11</v>
      </c>
      <c r="M56" s="5">
        <v>-12</v>
      </c>
      <c r="N56" s="5">
        <v>-13</v>
      </c>
      <c r="O56" s="164">
        <v>-14</v>
      </c>
      <c r="P56" s="5">
        <v>-15</v>
      </c>
    </row>
    <row r="57" spans="1:16" s="9" customFormat="1" ht="96" customHeight="1" thickBot="1">
      <c r="A57" s="6" t="s">
        <v>13</v>
      </c>
      <c r="B57" s="7" t="str">
        <f>B4</f>
        <v xml:space="preserve">PROPOSED FY 27 TAX RATE   </v>
      </c>
      <c r="C57" s="7" t="str">
        <f>C4</f>
        <v xml:space="preserve">PROPOSED FY 27 TAX RATE   </v>
      </c>
      <c r="D57" s="8" t="s">
        <v>2</v>
      </c>
      <c r="E57" s="8" t="s">
        <v>191</v>
      </c>
      <c r="F57" s="107" t="s">
        <v>3</v>
      </c>
      <c r="G57" s="107" t="s">
        <v>4</v>
      </c>
      <c r="H57" s="107" t="s">
        <v>5</v>
      </c>
      <c r="I57" s="107" t="s">
        <v>6</v>
      </c>
      <c r="J57" s="107" t="s">
        <v>7</v>
      </c>
      <c r="K57" s="107" t="s">
        <v>353</v>
      </c>
      <c r="L57" s="107" t="s">
        <v>8</v>
      </c>
      <c r="M57" s="107" t="s">
        <v>357</v>
      </c>
      <c r="N57" s="107" t="s">
        <v>9</v>
      </c>
      <c r="O57" s="8" t="s">
        <v>397</v>
      </c>
      <c r="P57" s="8" t="s">
        <v>418</v>
      </c>
    </row>
    <row r="59" spans="1:16">
      <c r="A59" s="139" t="s">
        <v>0</v>
      </c>
      <c r="B59" s="337">
        <f t="shared" ref="B59:P59" si="6">B6+B32</f>
        <v>1.18</v>
      </c>
      <c r="C59" s="128">
        <f t="shared" si="6"/>
        <v>0</v>
      </c>
      <c r="D59" s="129">
        <f t="shared" ref="D59:E75" si="7">D6</f>
        <v>20783</v>
      </c>
      <c r="E59" s="129">
        <f t="shared" si="7"/>
        <v>2720406112.7800002</v>
      </c>
      <c r="F59" s="130">
        <f t="shared" si="6"/>
        <v>1237592.8494000002</v>
      </c>
      <c r="G59" s="130">
        <f t="shared" si="6"/>
        <v>31006440.501199998</v>
      </c>
      <c r="H59" s="130">
        <f t="shared" si="6"/>
        <v>0</v>
      </c>
      <c r="I59" s="130">
        <f t="shared" si="6"/>
        <v>113900.79000000001</v>
      </c>
      <c r="J59" s="130">
        <f t="shared" si="6"/>
        <v>161.31</v>
      </c>
      <c r="K59" s="130">
        <f t="shared" si="6"/>
        <v>32130293.870599993</v>
      </c>
      <c r="L59" s="130">
        <f t="shared" si="6"/>
        <v>4307029.9000000004</v>
      </c>
      <c r="M59" s="130">
        <f t="shared" si="6"/>
        <v>27823263.970600002</v>
      </c>
      <c r="N59" s="130">
        <f t="shared" si="6"/>
        <v>1211923.5400000003</v>
      </c>
      <c r="O59" s="130">
        <f t="shared" ref="O59:O75" si="8">O6+O32</f>
        <v>0</v>
      </c>
      <c r="P59" s="130">
        <f t="shared" si="6"/>
        <v>26611340.430600002</v>
      </c>
    </row>
    <row r="60" spans="1:16">
      <c r="A60" s="139" t="s">
        <v>255</v>
      </c>
      <c r="B60" s="337">
        <f t="shared" ref="B60:P75" si="9">B7+B33</f>
        <v>1.3</v>
      </c>
      <c r="C60" s="128">
        <f t="shared" si="9"/>
        <v>0</v>
      </c>
      <c r="D60" s="129">
        <f t="shared" si="7"/>
        <v>12371</v>
      </c>
      <c r="E60" s="129">
        <f t="shared" si="7"/>
        <v>1251367312.0633333</v>
      </c>
      <c r="F60" s="130">
        <f t="shared" si="9"/>
        <v>1021596.65</v>
      </c>
      <c r="G60" s="130">
        <f t="shared" si="9"/>
        <v>15399877.824999999</v>
      </c>
      <c r="H60" s="130">
        <f t="shared" si="9"/>
        <v>0</v>
      </c>
      <c r="I60" s="130">
        <f t="shared" si="9"/>
        <v>152319.21</v>
      </c>
      <c r="J60" s="130">
        <f t="shared" si="9"/>
        <v>261.61</v>
      </c>
      <c r="K60" s="130">
        <f t="shared" si="9"/>
        <v>16269416.875</v>
      </c>
      <c r="L60" s="130">
        <f t="shared" si="9"/>
        <v>1825357.4300000002</v>
      </c>
      <c r="M60" s="130">
        <f t="shared" si="9"/>
        <v>14444059.445</v>
      </c>
      <c r="N60" s="130">
        <f t="shared" si="9"/>
        <v>0</v>
      </c>
      <c r="O60" s="130">
        <f t="shared" si="8"/>
        <v>43036.79</v>
      </c>
      <c r="P60" s="130">
        <f t="shared" si="9"/>
        <v>14401022.654999999</v>
      </c>
    </row>
    <row r="61" spans="1:16">
      <c r="A61" s="139" t="s">
        <v>256</v>
      </c>
      <c r="B61" s="337">
        <f t="shared" si="9"/>
        <v>1.3033999999999999</v>
      </c>
      <c r="C61" s="128">
        <f t="shared" si="9"/>
        <v>0</v>
      </c>
      <c r="D61" s="129">
        <f t="shared" si="7"/>
        <v>860904</v>
      </c>
      <c r="E61" s="129">
        <f t="shared" si="7"/>
        <v>181168993252.11664</v>
      </c>
      <c r="F61" s="130">
        <f t="shared" si="9"/>
        <v>50446745.589999996</v>
      </c>
      <c r="G61" s="130">
        <f t="shared" si="9"/>
        <v>2250782675.7399998</v>
      </c>
      <c r="H61" s="130">
        <f t="shared" si="9"/>
        <v>0</v>
      </c>
      <c r="I61" s="130">
        <f t="shared" si="9"/>
        <v>213781271.98000002</v>
      </c>
      <c r="J61" s="130">
        <f t="shared" si="9"/>
        <v>0</v>
      </c>
      <c r="K61" s="130">
        <f t="shared" si="9"/>
        <v>2087448149.3499999</v>
      </c>
      <c r="L61" s="130">
        <f t="shared" si="9"/>
        <v>424166163.47000003</v>
      </c>
      <c r="M61" s="130">
        <f t="shared" si="9"/>
        <v>1663281985.8799999</v>
      </c>
      <c r="N61" s="130">
        <f t="shared" si="9"/>
        <v>645344.21</v>
      </c>
      <c r="O61" s="130">
        <f t="shared" si="8"/>
        <v>567031.07000000007</v>
      </c>
      <c r="P61" s="130">
        <f t="shared" si="9"/>
        <v>1662069610.5999999</v>
      </c>
    </row>
    <row r="62" spans="1:16">
      <c r="A62" s="139" t="s">
        <v>257</v>
      </c>
      <c r="B62" s="337">
        <f t="shared" si="9"/>
        <v>0.85</v>
      </c>
      <c r="C62" s="128">
        <f t="shared" si="9"/>
        <v>0</v>
      </c>
      <c r="D62" s="129">
        <f t="shared" si="7"/>
        <v>27985</v>
      </c>
      <c r="E62" s="129">
        <f t="shared" si="7"/>
        <v>5214250806.3866673</v>
      </c>
      <c r="F62" s="130">
        <f t="shared" si="9"/>
        <v>1355282.3295</v>
      </c>
      <c r="G62" s="130">
        <f t="shared" si="9"/>
        <v>42912636.225000001</v>
      </c>
      <c r="H62" s="130">
        <f t="shared" si="9"/>
        <v>0</v>
      </c>
      <c r="I62" s="130">
        <f t="shared" si="9"/>
        <v>171044.36999999997</v>
      </c>
      <c r="J62" s="130">
        <f t="shared" si="9"/>
        <v>1085.94</v>
      </c>
      <c r="K62" s="130">
        <f t="shared" si="9"/>
        <v>44097960.124499992</v>
      </c>
      <c r="L62" s="130">
        <f t="shared" si="9"/>
        <v>5116362.6900000004</v>
      </c>
      <c r="M62" s="130">
        <f t="shared" si="9"/>
        <v>38981597.434499994</v>
      </c>
      <c r="N62" s="130">
        <f t="shared" si="9"/>
        <v>900721.42999999993</v>
      </c>
      <c r="O62" s="130">
        <f t="shared" si="8"/>
        <v>0</v>
      </c>
      <c r="P62" s="130">
        <f t="shared" si="9"/>
        <v>38080876.004499987</v>
      </c>
    </row>
    <row r="63" spans="1:16">
      <c r="A63" s="139" t="s">
        <v>258</v>
      </c>
      <c r="B63" s="337">
        <f t="shared" si="9"/>
        <v>0.75</v>
      </c>
      <c r="C63" s="128">
        <f t="shared" si="9"/>
        <v>0</v>
      </c>
      <c r="D63" s="129">
        <f t="shared" si="7"/>
        <v>43442</v>
      </c>
      <c r="E63" s="129">
        <f t="shared" si="7"/>
        <v>2658204943.5899997</v>
      </c>
      <c r="F63" s="130">
        <f t="shared" si="9"/>
        <v>1302606.42</v>
      </c>
      <c r="G63" s="130">
        <f t="shared" si="9"/>
        <v>19155841.512499999</v>
      </c>
      <c r="H63" s="130">
        <f t="shared" si="9"/>
        <v>0</v>
      </c>
      <c r="I63" s="130">
        <f t="shared" si="9"/>
        <v>528356.76</v>
      </c>
      <c r="J63" s="130">
        <f t="shared" si="9"/>
        <v>173.83</v>
      </c>
      <c r="K63" s="130">
        <f t="shared" si="9"/>
        <v>19930265.002499998</v>
      </c>
      <c r="L63" s="130">
        <f t="shared" si="9"/>
        <v>620694.36</v>
      </c>
      <c r="M63" s="130">
        <f t="shared" si="9"/>
        <v>19309570.642500002</v>
      </c>
      <c r="N63" s="130">
        <f t="shared" si="9"/>
        <v>129871.43</v>
      </c>
      <c r="O63" s="130">
        <f t="shared" si="8"/>
        <v>43.31</v>
      </c>
      <c r="P63" s="130">
        <f t="shared" si="9"/>
        <v>19179655.9025</v>
      </c>
    </row>
    <row r="64" spans="1:16">
      <c r="A64" s="139" t="s">
        <v>259</v>
      </c>
      <c r="B64" s="337">
        <f t="shared" si="9"/>
        <v>0.75</v>
      </c>
      <c r="C64" s="128">
        <f t="shared" si="9"/>
        <v>0</v>
      </c>
      <c r="D64" s="129">
        <f t="shared" si="7"/>
        <v>2577</v>
      </c>
      <c r="E64" s="129">
        <f t="shared" si="7"/>
        <v>193347153.73999998</v>
      </c>
      <c r="F64" s="130">
        <f t="shared" si="9"/>
        <v>535639.6825</v>
      </c>
      <c r="G64" s="130">
        <f t="shared" si="9"/>
        <v>916885.255</v>
      </c>
      <c r="H64" s="130">
        <f t="shared" si="9"/>
        <v>0</v>
      </c>
      <c r="I64" s="130">
        <f t="shared" si="9"/>
        <v>255233.11</v>
      </c>
      <c r="J64" s="130">
        <f t="shared" si="9"/>
        <v>0</v>
      </c>
      <c r="K64" s="130">
        <f t="shared" si="9"/>
        <v>1197291.8274999999</v>
      </c>
      <c r="L64" s="130">
        <f t="shared" si="9"/>
        <v>11920.400000000001</v>
      </c>
      <c r="M64" s="130">
        <f t="shared" si="9"/>
        <v>1185371.4275</v>
      </c>
      <c r="N64" s="130">
        <f t="shared" si="9"/>
        <v>0</v>
      </c>
      <c r="O64" s="130">
        <f t="shared" si="8"/>
        <v>0</v>
      </c>
      <c r="P64" s="130">
        <f t="shared" si="9"/>
        <v>1185371.4275</v>
      </c>
    </row>
    <row r="65" spans="1:16">
      <c r="A65" s="139" t="s">
        <v>260</v>
      </c>
      <c r="B65" s="337">
        <f t="shared" si="9"/>
        <v>0.75</v>
      </c>
      <c r="C65" s="128">
        <f t="shared" si="9"/>
        <v>0</v>
      </c>
      <c r="D65" s="129">
        <f t="shared" si="7"/>
        <v>3843</v>
      </c>
      <c r="E65" s="129">
        <f t="shared" si="7"/>
        <v>889897213.28000009</v>
      </c>
      <c r="F65" s="130">
        <f t="shared" si="9"/>
        <v>1265269.49</v>
      </c>
      <c r="G65" s="130">
        <f t="shared" si="9"/>
        <v>8073406.5674999999</v>
      </c>
      <c r="H65" s="130">
        <f t="shared" si="9"/>
        <v>0</v>
      </c>
      <c r="I65" s="130">
        <f t="shared" si="9"/>
        <v>2664450.23</v>
      </c>
      <c r="J65" s="130">
        <f t="shared" si="9"/>
        <v>21.67</v>
      </c>
      <c r="K65" s="130">
        <f t="shared" si="9"/>
        <v>6674247.4975000005</v>
      </c>
      <c r="L65" s="130">
        <f t="shared" si="9"/>
        <v>135728.54999999999</v>
      </c>
      <c r="M65" s="130">
        <f t="shared" si="9"/>
        <v>6538518.9474999998</v>
      </c>
      <c r="N65" s="130">
        <f t="shared" si="9"/>
        <v>0</v>
      </c>
      <c r="O65" s="130">
        <f t="shared" si="8"/>
        <v>427636.57</v>
      </c>
      <c r="P65" s="130">
        <f t="shared" si="9"/>
        <v>6110882.3774999995</v>
      </c>
    </row>
    <row r="66" spans="1:16">
      <c r="A66" s="139" t="s">
        <v>261</v>
      </c>
      <c r="B66" s="337">
        <f t="shared" si="9"/>
        <v>0.88500000000000001</v>
      </c>
      <c r="C66" s="128">
        <f t="shared" si="9"/>
        <v>0</v>
      </c>
      <c r="D66" s="129">
        <f t="shared" si="7"/>
        <v>15940</v>
      </c>
      <c r="E66" s="129">
        <f t="shared" si="7"/>
        <v>1472840732.3366663</v>
      </c>
      <c r="F66" s="130">
        <f t="shared" si="9"/>
        <v>2741789.94545</v>
      </c>
      <c r="G66" s="130">
        <f t="shared" si="9"/>
        <v>10989038.454300001</v>
      </c>
      <c r="H66" s="130">
        <f t="shared" si="9"/>
        <v>0</v>
      </c>
      <c r="I66" s="130">
        <f t="shared" si="9"/>
        <v>696199.41</v>
      </c>
      <c r="J66" s="130">
        <f t="shared" si="9"/>
        <v>92.94</v>
      </c>
      <c r="K66" s="130">
        <f t="shared" si="9"/>
        <v>13034721.929749999</v>
      </c>
      <c r="L66" s="130">
        <f t="shared" si="9"/>
        <v>408765.38</v>
      </c>
      <c r="M66" s="130">
        <f t="shared" si="9"/>
        <v>12625956.54975</v>
      </c>
      <c r="N66" s="130">
        <f t="shared" si="9"/>
        <v>0</v>
      </c>
      <c r="O66" s="130">
        <f t="shared" si="8"/>
        <v>100200</v>
      </c>
      <c r="P66" s="130">
        <f t="shared" si="9"/>
        <v>12525756.54975</v>
      </c>
    </row>
    <row r="67" spans="1:16">
      <c r="A67" s="139" t="s">
        <v>262</v>
      </c>
      <c r="B67" s="337">
        <f t="shared" si="9"/>
        <v>0.75</v>
      </c>
      <c r="C67" s="128">
        <f t="shared" si="9"/>
        <v>0</v>
      </c>
      <c r="D67" s="129">
        <f t="shared" si="7"/>
        <v>6774</v>
      </c>
      <c r="E67" s="129">
        <f t="shared" si="7"/>
        <v>830269757.9000001</v>
      </c>
      <c r="F67" s="130">
        <f t="shared" si="9"/>
        <v>762181.5675</v>
      </c>
      <c r="G67" s="130">
        <f t="shared" si="9"/>
        <v>5908300.5649999995</v>
      </c>
      <c r="H67" s="130">
        <f t="shared" si="9"/>
        <v>0</v>
      </c>
      <c r="I67" s="130">
        <f t="shared" si="9"/>
        <v>443457.07</v>
      </c>
      <c r="J67" s="130">
        <f t="shared" si="9"/>
        <v>20.76</v>
      </c>
      <c r="K67" s="130">
        <f t="shared" si="9"/>
        <v>6227045.8224999998</v>
      </c>
      <c r="L67" s="130">
        <f t="shared" si="9"/>
        <v>148119.22</v>
      </c>
      <c r="M67" s="130">
        <f t="shared" si="9"/>
        <v>6078926.6025</v>
      </c>
      <c r="N67" s="130">
        <f t="shared" si="9"/>
        <v>0</v>
      </c>
      <c r="O67" s="130">
        <f t="shared" si="8"/>
        <v>56100</v>
      </c>
      <c r="P67" s="130">
        <f t="shared" si="9"/>
        <v>6022826.6025</v>
      </c>
    </row>
    <row r="68" spans="1:16">
      <c r="A68" s="139" t="s">
        <v>263</v>
      </c>
      <c r="B68" s="337">
        <f t="shared" si="9"/>
        <v>0.97309999999999997</v>
      </c>
      <c r="C68" s="128">
        <f t="shared" si="9"/>
        <v>0</v>
      </c>
      <c r="D68" s="129">
        <f t="shared" si="7"/>
        <v>4681</v>
      </c>
      <c r="E68" s="129">
        <f t="shared" si="7"/>
        <v>407450780.63999999</v>
      </c>
      <c r="F68" s="130">
        <f t="shared" si="9"/>
        <v>231139.34000000003</v>
      </c>
      <c r="G68" s="130">
        <f t="shared" si="9"/>
        <v>3923510.8226190004</v>
      </c>
      <c r="H68" s="130">
        <f t="shared" si="9"/>
        <v>0</v>
      </c>
      <c r="I68" s="130">
        <f t="shared" si="9"/>
        <v>189746.04</v>
      </c>
      <c r="J68" s="130">
        <f t="shared" si="9"/>
        <v>833.68999999999994</v>
      </c>
      <c r="K68" s="130">
        <f t="shared" si="9"/>
        <v>3965737.8126190007</v>
      </c>
      <c r="L68" s="130">
        <f t="shared" si="9"/>
        <v>273970.63</v>
      </c>
      <c r="M68" s="130">
        <f t="shared" si="9"/>
        <v>3691767.1826190003</v>
      </c>
      <c r="N68" s="130">
        <f t="shared" si="9"/>
        <v>0</v>
      </c>
      <c r="O68" s="130">
        <f t="shared" si="8"/>
        <v>513575.98</v>
      </c>
      <c r="P68" s="130">
        <f t="shared" si="9"/>
        <v>3178262.919297656</v>
      </c>
    </row>
    <row r="69" spans="1:16">
      <c r="A69" s="139" t="s">
        <v>264</v>
      </c>
      <c r="B69" s="337">
        <f t="shared" si="9"/>
        <v>1.3367</v>
      </c>
      <c r="C69" s="128">
        <f t="shared" si="9"/>
        <v>0</v>
      </c>
      <c r="D69" s="129">
        <f t="shared" si="7"/>
        <v>34069</v>
      </c>
      <c r="E69" s="129">
        <f t="shared" si="7"/>
        <v>3575678342.2000003</v>
      </c>
      <c r="F69" s="130">
        <f t="shared" si="9"/>
        <v>2498415.8771790001</v>
      </c>
      <c r="G69" s="130">
        <f t="shared" si="9"/>
        <v>45949489.558677003</v>
      </c>
      <c r="H69" s="130">
        <f t="shared" si="9"/>
        <v>0</v>
      </c>
      <c r="I69" s="130">
        <f t="shared" si="9"/>
        <v>652180.47999999998</v>
      </c>
      <c r="J69" s="130">
        <f t="shared" si="9"/>
        <v>692.63</v>
      </c>
      <c r="K69" s="130">
        <f t="shared" si="9"/>
        <v>47796417.585856006</v>
      </c>
      <c r="L69" s="130">
        <f t="shared" si="9"/>
        <v>13048654.41</v>
      </c>
      <c r="M69" s="130">
        <f t="shared" si="9"/>
        <v>34747763.175856009</v>
      </c>
      <c r="N69" s="130">
        <f t="shared" si="9"/>
        <v>0</v>
      </c>
      <c r="O69" s="130">
        <f t="shared" si="8"/>
        <v>78558.23</v>
      </c>
      <c r="P69" s="130">
        <f t="shared" si="9"/>
        <v>34669204.945856005</v>
      </c>
    </row>
    <row r="70" spans="1:16">
      <c r="A70" s="139" t="s">
        <v>265</v>
      </c>
      <c r="B70" s="337">
        <f t="shared" si="9"/>
        <v>1</v>
      </c>
      <c r="C70" s="128">
        <f t="shared" si="9"/>
        <v>0</v>
      </c>
      <c r="D70" s="129">
        <f t="shared" si="7"/>
        <v>3596</v>
      </c>
      <c r="E70" s="129">
        <f t="shared" si="7"/>
        <v>256654712.07333329</v>
      </c>
      <c r="F70" s="130">
        <f t="shared" si="9"/>
        <v>850231.40999999992</v>
      </c>
      <c r="G70" s="130">
        <f t="shared" si="9"/>
        <v>2081231.2199999997</v>
      </c>
      <c r="H70" s="130">
        <f t="shared" si="9"/>
        <v>0</v>
      </c>
      <c r="I70" s="130">
        <f t="shared" si="9"/>
        <v>364841.98000000004</v>
      </c>
      <c r="J70" s="130">
        <f t="shared" si="9"/>
        <v>134.18</v>
      </c>
      <c r="K70" s="130">
        <f t="shared" si="9"/>
        <v>2566754.83</v>
      </c>
      <c r="L70" s="130">
        <f t="shared" si="9"/>
        <v>62480.75</v>
      </c>
      <c r="M70" s="130">
        <f t="shared" si="9"/>
        <v>2504274.08</v>
      </c>
      <c r="N70" s="130">
        <f t="shared" si="9"/>
        <v>0</v>
      </c>
      <c r="O70" s="130">
        <f t="shared" si="8"/>
        <v>242071.5</v>
      </c>
      <c r="P70" s="130">
        <f t="shared" si="9"/>
        <v>2262202.58</v>
      </c>
    </row>
    <row r="71" spans="1:16">
      <c r="A71" s="139" t="s">
        <v>266</v>
      </c>
      <c r="B71" s="337">
        <f t="shared" si="9"/>
        <v>1.335</v>
      </c>
      <c r="C71" s="128">
        <f t="shared" si="9"/>
        <v>0</v>
      </c>
      <c r="D71" s="129">
        <f t="shared" si="7"/>
        <v>58339</v>
      </c>
      <c r="E71" s="129">
        <f t="shared" si="7"/>
        <v>2524073369.856667</v>
      </c>
      <c r="F71" s="130">
        <f t="shared" si="9"/>
        <v>2980088.9934499995</v>
      </c>
      <c r="G71" s="130">
        <f t="shared" si="9"/>
        <v>32013622.896649998</v>
      </c>
      <c r="H71" s="130">
        <f t="shared" si="9"/>
        <v>0</v>
      </c>
      <c r="I71" s="130">
        <f t="shared" si="9"/>
        <v>1293402.96</v>
      </c>
      <c r="J71" s="130">
        <f t="shared" si="9"/>
        <v>2007.82</v>
      </c>
      <c r="K71" s="130">
        <f t="shared" si="9"/>
        <v>33702316.750100002</v>
      </c>
      <c r="L71" s="130">
        <f t="shared" si="9"/>
        <v>6368392.6100000003</v>
      </c>
      <c r="M71" s="130">
        <f t="shared" si="9"/>
        <v>27333924.140100002</v>
      </c>
      <c r="N71" s="130">
        <f t="shared" si="9"/>
        <v>0</v>
      </c>
      <c r="O71" s="130">
        <f t="shared" si="8"/>
        <v>664286.85</v>
      </c>
      <c r="P71" s="130">
        <f t="shared" si="9"/>
        <v>26669637.290100001</v>
      </c>
    </row>
    <row r="72" spans="1:16">
      <c r="A72" s="139" t="s">
        <v>267</v>
      </c>
      <c r="B72" s="337">
        <f t="shared" si="9"/>
        <v>1.1499999999999999</v>
      </c>
      <c r="C72" s="128">
        <f t="shared" si="9"/>
        <v>0</v>
      </c>
      <c r="D72" s="129">
        <f t="shared" si="7"/>
        <v>10681</v>
      </c>
      <c r="E72" s="129">
        <f t="shared" si="7"/>
        <v>643973847.91999996</v>
      </c>
      <c r="F72" s="130">
        <f t="shared" si="9"/>
        <v>162504.04</v>
      </c>
      <c r="G72" s="130">
        <f t="shared" si="9"/>
        <v>7284239.0960000008</v>
      </c>
      <c r="H72" s="130">
        <f t="shared" si="9"/>
        <v>0</v>
      </c>
      <c r="I72" s="130">
        <f t="shared" si="9"/>
        <v>40827.060000000005</v>
      </c>
      <c r="J72" s="130">
        <f t="shared" si="9"/>
        <v>171.26</v>
      </c>
      <c r="K72" s="130">
        <f t="shared" si="9"/>
        <v>7406087.3359999992</v>
      </c>
      <c r="L72" s="130">
        <f t="shared" si="9"/>
        <v>206865.84000000003</v>
      </c>
      <c r="M72" s="130">
        <f t="shared" si="9"/>
        <v>7199221.4960000003</v>
      </c>
      <c r="N72" s="130">
        <f t="shared" si="9"/>
        <v>0</v>
      </c>
      <c r="O72" s="130">
        <f t="shared" si="8"/>
        <v>110631.94</v>
      </c>
      <c r="P72" s="130">
        <f t="shared" si="9"/>
        <v>7088589.5559999999</v>
      </c>
    </row>
    <row r="73" spans="1:16" s="50" customFormat="1" ht="12.75" customHeight="1">
      <c r="A73" s="55" t="s">
        <v>268</v>
      </c>
      <c r="B73" s="337">
        <f t="shared" si="9"/>
        <v>0.89470000000000005</v>
      </c>
      <c r="C73" s="128">
        <f t="shared" si="9"/>
        <v>0</v>
      </c>
      <c r="D73" s="129">
        <f t="shared" si="7"/>
        <v>4805</v>
      </c>
      <c r="E73" s="129">
        <f t="shared" si="7"/>
        <v>5636417050.5466661</v>
      </c>
      <c r="F73" s="130">
        <f t="shared" si="9"/>
        <v>12390045.968877999</v>
      </c>
      <c r="G73" s="130">
        <f t="shared" si="9"/>
        <v>38135847.657788992</v>
      </c>
      <c r="H73" s="130">
        <f t="shared" si="9"/>
        <v>0</v>
      </c>
      <c r="I73" s="130">
        <f t="shared" si="9"/>
        <v>96552.63</v>
      </c>
      <c r="J73" s="130">
        <f t="shared" si="9"/>
        <v>17786.97</v>
      </c>
      <c r="K73" s="130">
        <f t="shared" si="9"/>
        <v>50447127.966667004</v>
      </c>
      <c r="L73" s="130">
        <f t="shared" si="9"/>
        <v>2067972.96</v>
      </c>
      <c r="M73" s="130">
        <f t="shared" si="9"/>
        <v>48379155.006667003</v>
      </c>
      <c r="N73" s="130">
        <f t="shared" si="9"/>
        <v>0</v>
      </c>
      <c r="O73" s="130">
        <f t="shared" si="8"/>
        <v>0</v>
      </c>
      <c r="P73" s="130">
        <f t="shared" si="9"/>
        <v>48379155.006667003</v>
      </c>
    </row>
    <row r="74" spans="1:16">
      <c r="A74" s="139" t="s">
        <v>269</v>
      </c>
      <c r="B74" s="337">
        <f t="shared" si="9"/>
        <v>1.1385000000000001</v>
      </c>
      <c r="C74" s="128">
        <f t="shared" si="9"/>
        <v>0</v>
      </c>
      <c r="D74" s="129">
        <f t="shared" si="7"/>
        <v>192380</v>
      </c>
      <c r="E74" s="129">
        <f t="shared" si="7"/>
        <v>36303709165.516663</v>
      </c>
      <c r="F74" s="130">
        <f t="shared" si="9"/>
        <v>19014195.137455001</v>
      </c>
      <c r="G74" s="130">
        <f t="shared" si="9"/>
        <v>394593899.23707497</v>
      </c>
      <c r="H74" s="130">
        <f t="shared" si="9"/>
        <v>0</v>
      </c>
      <c r="I74" s="130">
        <f t="shared" si="9"/>
        <v>42961458.43</v>
      </c>
      <c r="J74" s="130">
        <f t="shared" si="9"/>
        <v>1804.7600000000002</v>
      </c>
      <c r="K74" s="130">
        <f t="shared" si="9"/>
        <v>370648440.70453</v>
      </c>
      <c r="L74" s="130">
        <f t="shared" si="9"/>
        <v>71471407.620000005</v>
      </c>
      <c r="M74" s="130">
        <f t="shared" si="9"/>
        <v>299177033.08453</v>
      </c>
      <c r="N74" s="130">
        <f>+N47+N21</f>
        <v>6168134.4900000002</v>
      </c>
      <c r="O74" s="130">
        <f t="shared" si="8"/>
        <v>92053.48</v>
      </c>
      <c r="P74" s="130">
        <f t="shared" si="9"/>
        <v>287594932.15202993</v>
      </c>
    </row>
    <row r="75" spans="1:16">
      <c r="A75" s="139" t="s">
        <v>270</v>
      </c>
      <c r="B75" s="337">
        <f t="shared" si="9"/>
        <v>0.999</v>
      </c>
      <c r="C75" s="128">
        <f t="shared" si="9"/>
        <v>0</v>
      </c>
      <c r="D75" s="129">
        <f t="shared" si="7"/>
        <v>7727</v>
      </c>
      <c r="E75" s="129">
        <f t="shared" si="7"/>
        <v>599346920.14333332</v>
      </c>
      <c r="F75" s="130">
        <f t="shared" si="9"/>
        <v>905739.82551000011</v>
      </c>
      <c r="G75" s="130">
        <f t="shared" si="9"/>
        <v>5103604.9714599997</v>
      </c>
      <c r="H75" s="130">
        <f t="shared" si="9"/>
        <v>0</v>
      </c>
      <c r="I75" s="130">
        <f t="shared" si="9"/>
        <v>21403.1</v>
      </c>
      <c r="J75" s="130">
        <f t="shared" si="9"/>
        <v>341.77</v>
      </c>
      <c r="K75" s="130">
        <f t="shared" si="9"/>
        <v>5988283.4669699995</v>
      </c>
      <c r="L75" s="130">
        <f t="shared" si="9"/>
        <v>694987.85</v>
      </c>
      <c r="M75" s="130">
        <f t="shared" si="9"/>
        <v>5293295.6169699999</v>
      </c>
      <c r="N75" s="130">
        <f t="shared" si="9"/>
        <v>52872.79</v>
      </c>
      <c r="O75" s="130">
        <f t="shared" si="8"/>
        <v>122331.62</v>
      </c>
      <c r="P75" s="130">
        <f>P22+P48</f>
        <v>5118091.2069699997</v>
      </c>
    </row>
    <row r="77" spans="1:16" s="50" customFormat="1" ht="13.5" thickBot="1">
      <c r="A77" s="138" t="s">
        <v>226</v>
      </c>
      <c r="B77" s="51"/>
      <c r="C77" s="51"/>
      <c r="D77" s="141">
        <f>SUM(D59:D75)</f>
        <v>1310897</v>
      </c>
      <c r="E77" s="141">
        <f>SUM(E59:E75)</f>
        <v>246346881473.08997</v>
      </c>
      <c r="F77" s="58">
        <f t="shared" ref="F77:P77" si="10">SUM(F59:F75)</f>
        <v>99701065.116821989</v>
      </c>
      <c r="G77" s="58">
        <f>SUM(G59:G75)</f>
        <v>2914230548.1057696</v>
      </c>
      <c r="H77" s="58">
        <f t="shared" si="10"/>
        <v>0</v>
      </c>
      <c r="I77" s="58">
        <f t="shared" si="10"/>
        <v>264426645.60999998</v>
      </c>
      <c r="J77" s="58">
        <f t="shared" si="10"/>
        <v>25591.140000000003</v>
      </c>
      <c r="K77" s="58">
        <f t="shared" si="10"/>
        <v>2749530558.7525926</v>
      </c>
      <c r="L77" s="58">
        <f t="shared" si="10"/>
        <v>530934874.07000005</v>
      </c>
      <c r="M77" s="58">
        <f t="shared" si="10"/>
        <v>2218595684.6825919</v>
      </c>
      <c r="N77" s="58">
        <f t="shared" si="10"/>
        <v>9108867.8900000006</v>
      </c>
      <c r="O77" s="58">
        <f>SUM(O59:O75)</f>
        <v>3017557.3400000003</v>
      </c>
      <c r="P77" s="58">
        <f t="shared" si="10"/>
        <v>2201147418.2067704</v>
      </c>
    </row>
    <row r="78" spans="1:16" ht="13.5" thickTop="1"/>
  </sheetData>
  <customSheetViews>
    <customSheetView guid="{AE6F0488-1842-4C89-B05F-A836B633FB8F}" scale="75" showPageBreaks="1" showRuler="0">
      <selection activeCell="U30" sqref="U30"/>
      <rowBreaks count="2" manualBreakCount="2">
        <brk id="26" max="16383" man="1"/>
        <brk id="53" max="16383" man="1"/>
      </rowBreaks>
      <pageMargins left="0.28999999999999998" right="0.27" top="1" bottom="0.78" header="0.5" footer="0.32"/>
      <pageSetup paperSize="5" scale="70" orientation="landscape" r:id="rId1"/>
      <headerFooter alignWithMargins="0">
        <oddHeader>&amp;C&amp;"Arial,Bold"2007-08 PROPERTY TAX ABATEMENT REPORT
SCHOOL DISTRICTS TOTALS
(March 2007)</oddHeader>
        <oddFooter>&amp;L&amp;6&amp;A&amp;C
&amp;R&amp;6&amp;D&amp;T</oddFooter>
      </headerFooter>
    </customSheetView>
    <customSheetView guid="{7CE6F7F4-8D8F-4334-ACEE-5BD88E482B05}" scale="75" showPageBreaks="1" showRuler="0">
      <selection activeCell="P4" sqref="P4"/>
      <rowBreaks count="2" manualBreakCount="2">
        <brk id="26" max="16383" man="1"/>
        <brk id="53" max="16383" man="1"/>
      </rowBreaks>
      <pageMargins left="0.28999999999999998" right="0.27" top="1" bottom="0.78" header="0.5" footer="0.32"/>
      <pageSetup paperSize="5" scale="70" orientation="landscape" r:id="rId2"/>
      <headerFooter alignWithMargins="0">
        <oddHeader>&amp;C&amp;"Arial,Bold"2007-08 PROPERTY TAX ABATEMENT REPORT
SCHOOL DISTRICTS TOTALS
(March 2007)</oddHeader>
        <oddFooter>&amp;L&amp;6&amp;A&amp;C
&amp;R&amp;6&amp;D&amp;T</oddFooter>
      </headerFooter>
    </customSheetView>
    <customSheetView guid="{FA63795C-EC4C-4AAB-B1D6-AA5370DAC04D}" scale="75" hiddenColumns="1" showRuler="0">
      <selection activeCell="P4" sqref="P4"/>
      <rowBreaks count="2" manualBreakCount="2">
        <brk id="26" max="16383" man="1"/>
        <brk id="53" max="16383" man="1"/>
      </rowBreaks>
      <pageMargins left="0.28999999999999998" right="0.27" top="1" bottom="0.78" header="0.5" footer="0.32"/>
      <pageSetup paperSize="5" scale="70" orientation="landscape" r:id="rId3"/>
      <headerFooter alignWithMargins="0">
        <oddHeader>&amp;C&amp;"Arial,Bold"2007-08 PROPERTY TAX ABATEMENT REPORT
SCHOOL DISTRICTS TOTALS
(March 2007)</oddHeader>
        <oddFooter>&amp;L&amp;6&amp;A&amp;C
&amp;R&amp;6&amp;D&amp;T</oddFooter>
      </headerFooter>
    </customSheetView>
  </customSheetViews>
  <phoneticPr fontId="5" type="noConversion"/>
  <pageMargins left="0.75" right="0.75" top="1" bottom="1" header="0.5" footer="0.5"/>
  <pageSetup paperSize="5" scale="59" firstPageNumber="80" fitToHeight="0" orientation="landscape" useFirstPageNumber="1" r:id="rId4"/>
  <headerFooter alignWithMargins="0">
    <oddHeader>&amp;CFY 2026-27 Property Tax Abatement Report
School District Totals
(March 2026)</oddHeader>
    <oddFooter>&amp;LSchool Summary&amp;C&amp;P&amp;R&amp;D&amp;T</oddFooter>
  </headerFooter>
  <rowBreaks count="1" manualBreakCount="1">
    <brk id="26" max="16383" man="1"/>
  </rowBreaks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0BB3-D6D2-4C18-843F-4F07D80B60A3}">
  <sheetPr>
    <pageSetUpPr fitToPage="1"/>
  </sheetPr>
  <dimension ref="A2:N95"/>
  <sheetViews>
    <sheetView topLeftCell="A60" zoomScaleNormal="100" workbookViewId="0">
      <selection activeCell="G51" sqref="G51"/>
    </sheetView>
  </sheetViews>
  <sheetFormatPr defaultRowHeight="12.75"/>
  <cols>
    <col min="1" max="1" width="20.7109375" style="50" customWidth="1"/>
    <col min="2" max="2" width="35.28515625" bestFit="1" customWidth="1"/>
    <col min="3" max="3" width="20.5703125" style="130" customWidth="1"/>
    <col min="4" max="4" width="18.42578125" style="130" customWidth="1"/>
    <col min="5" max="5" width="19.85546875" style="59" bestFit="1" customWidth="1"/>
    <col min="6" max="6" width="17.85546875" customWidth="1"/>
    <col min="7" max="7" width="13.140625" customWidth="1"/>
    <col min="8" max="8" width="17.140625" customWidth="1"/>
    <col min="9" max="9" width="12.28515625" customWidth="1"/>
    <col min="12" max="12" width="11.28515625" bestFit="1" customWidth="1"/>
    <col min="13" max="13" width="11.85546875" bestFit="1" customWidth="1"/>
    <col min="14" max="14" width="11.28515625" bestFit="1" customWidth="1"/>
  </cols>
  <sheetData>
    <row r="2" spans="1:8">
      <c r="A2" s="15" t="s">
        <v>497</v>
      </c>
    </row>
    <row r="3" spans="1:8" ht="13.5" thickBot="1"/>
    <row r="4" spans="1:8" s="311" customFormat="1" ht="41.25" customHeight="1" thickBot="1">
      <c r="A4" s="306" t="s">
        <v>362</v>
      </c>
      <c r="B4" s="307" t="s">
        <v>399</v>
      </c>
      <c r="C4" s="308" t="s">
        <v>400</v>
      </c>
      <c r="D4" s="309" t="s">
        <v>401</v>
      </c>
      <c r="E4" s="310" t="s">
        <v>358</v>
      </c>
    </row>
    <row r="5" spans="1:8">
      <c r="A5" s="312"/>
      <c r="B5" s="313"/>
      <c r="C5" s="314"/>
      <c r="D5" s="314"/>
      <c r="E5" s="315"/>
      <c r="H5" s="326" t="s">
        <v>444</v>
      </c>
    </row>
    <row r="6" spans="1:8">
      <c r="A6" s="316" t="s">
        <v>256</v>
      </c>
      <c r="B6" s="317" t="s">
        <v>402</v>
      </c>
      <c r="C6" s="492">
        <v>5377912.6799999997</v>
      </c>
      <c r="D6" s="493">
        <f>+C6-E6</f>
        <v>4369300.67</v>
      </c>
      <c r="E6" s="497">
        <v>1008612.01</v>
      </c>
      <c r="H6" s="326"/>
    </row>
    <row r="7" spans="1:8">
      <c r="A7" s="316"/>
      <c r="B7" s="317" t="s">
        <v>486</v>
      </c>
      <c r="C7" s="492">
        <v>312773.56</v>
      </c>
      <c r="D7" s="493">
        <f>+C7-E7</f>
        <v>254402.01</v>
      </c>
      <c r="E7" s="497">
        <v>58371.55</v>
      </c>
      <c r="H7" s="326"/>
    </row>
    <row r="8" spans="1:8">
      <c r="A8" s="316"/>
      <c r="B8" s="317" t="s">
        <v>403</v>
      </c>
      <c r="C8" s="492">
        <v>14384455.949999999</v>
      </c>
      <c r="D8" s="493">
        <v>11699948.279999999</v>
      </c>
      <c r="E8" s="497">
        <f t="shared" ref="E8:E34" si="0">+C8-D8</f>
        <v>2684507.67</v>
      </c>
      <c r="F8" s="130"/>
    </row>
    <row r="9" spans="1:8">
      <c r="A9" s="316"/>
      <c r="B9" s="317" t="s">
        <v>508</v>
      </c>
      <c r="C9" s="492">
        <v>1563867.79</v>
      </c>
      <c r="D9" s="493">
        <v>1272010.03</v>
      </c>
      <c r="E9" s="497">
        <f t="shared" si="0"/>
        <v>291857.76</v>
      </c>
      <c r="F9" s="130"/>
    </row>
    <row r="10" spans="1:8">
      <c r="A10" s="316"/>
      <c r="B10" s="317" t="s">
        <v>506</v>
      </c>
      <c r="C10" s="492">
        <v>11641112.17</v>
      </c>
      <c r="D10" s="493">
        <v>9599719.5099999998</v>
      </c>
      <c r="E10" s="497">
        <f t="shared" si="0"/>
        <v>2041392.6600000001</v>
      </c>
      <c r="F10" s="130"/>
    </row>
    <row r="11" spans="1:8">
      <c r="A11" s="316"/>
      <c r="B11" s="317" t="s">
        <v>479</v>
      </c>
      <c r="C11" s="492">
        <f>23458016.88+21409595.59</f>
        <v>44867612.469999999</v>
      </c>
      <c r="D11" s="493">
        <f>23458016.88+21409595.59</f>
        <v>44867612.469999999</v>
      </c>
      <c r="E11" s="497">
        <f t="shared" si="0"/>
        <v>0</v>
      </c>
      <c r="F11" s="130"/>
    </row>
    <row r="12" spans="1:8">
      <c r="A12" s="316"/>
      <c r="B12" s="317" t="s">
        <v>480</v>
      </c>
      <c r="C12" s="492">
        <v>600525.23</v>
      </c>
      <c r="D12" s="493">
        <v>488451.85</v>
      </c>
      <c r="E12" s="497">
        <f t="shared" si="0"/>
        <v>112073.38</v>
      </c>
      <c r="F12" s="130"/>
    </row>
    <row r="13" spans="1:8">
      <c r="A13" s="316"/>
      <c r="B13" s="317" t="s">
        <v>481</v>
      </c>
      <c r="C13" s="492">
        <v>3127735.58</v>
      </c>
      <c r="D13" s="493">
        <v>2544020.0699999998</v>
      </c>
      <c r="E13" s="497">
        <f t="shared" si="0"/>
        <v>583715.51000000024</v>
      </c>
      <c r="F13" s="130"/>
    </row>
    <row r="14" spans="1:8">
      <c r="A14" s="316"/>
      <c r="B14" s="317" t="s">
        <v>482</v>
      </c>
      <c r="C14" s="492">
        <v>469160.34</v>
      </c>
      <c r="D14" s="493">
        <v>381603.01</v>
      </c>
      <c r="E14" s="497">
        <f t="shared" si="0"/>
        <v>87557.330000000016</v>
      </c>
      <c r="F14" s="130"/>
    </row>
    <row r="15" spans="1:8">
      <c r="A15" s="316"/>
      <c r="B15" s="317" t="s">
        <v>404</v>
      </c>
      <c r="C15" s="493">
        <v>975523.79</v>
      </c>
      <c r="D15" s="492">
        <v>790847.01</v>
      </c>
      <c r="E15" s="497">
        <f t="shared" si="0"/>
        <v>184676.78000000003</v>
      </c>
    </row>
    <row r="16" spans="1:8">
      <c r="A16" s="316"/>
      <c r="B16" s="317" t="s">
        <v>507</v>
      </c>
      <c r="C16" s="493">
        <v>187902.92</v>
      </c>
      <c r="D16" s="492">
        <v>152644.10999999999</v>
      </c>
      <c r="E16" s="497">
        <f t="shared" si="0"/>
        <v>35258.810000000027</v>
      </c>
    </row>
    <row r="17" spans="1:14">
      <c r="A17" s="316"/>
      <c r="B17" s="317" t="s">
        <v>421</v>
      </c>
      <c r="C17" s="492">
        <f>186163.48+215112.59+902766.08</f>
        <v>1304042.1499999999</v>
      </c>
      <c r="D17" s="492">
        <f>161281.65+179505.42+753959.34</f>
        <v>1094746.4099999999</v>
      </c>
      <c r="E17" s="497">
        <f t="shared" si="0"/>
        <v>209295.74</v>
      </c>
    </row>
    <row r="18" spans="1:14">
      <c r="A18" s="316"/>
      <c r="B18" s="317" t="s">
        <v>405</v>
      </c>
      <c r="C18" s="492">
        <v>1718101.96</v>
      </c>
      <c r="D18" s="494">
        <v>1326077.31</v>
      </c>
      <c r="E18" s="497">
        <f t="shared" si="0"/>
        <v>392024.64999999991</v>
      </c>
    </row>
    <row r="19" spans="1:14">
      <c r="A19" s="316"/>
      <c r="B19" s="317" t="s">
        <v>422</v>
      </c>
      <c r="C19" s="495">
        <f>3228280.78+235280.56+129447.03</f>
        <v>3593008.3699999996</v>
      </c>
      <c r="D19" s="492">
        <f>2590135.47+199436.41+108725.46</f>
        <v>2898297.3400000003</v>
      </c>
      <c r="E19" s="497">
        <f t="shared" si="0"/>
        <v>694711.02999999933</v>
      </c>
    </row>
    <row r="20" spans="1:14">
      <c r="A20" s="316"/>
      <c r="B20" s="317" t="s">
        <v>423</v>
      </c>
      <c r="C20" s="492">
        <v>197718.83</v>
      </c>
      <c r="D20" s="492">
        <v>158173.20000000001</v>
      </c>
      <c r="E20" s="497">
        <f t="shared" si="0"/>
        <v>39545.629999999976</v>
      </c>
    </row>
    <row r="21" spans="1:14">
      <c r="A21" s="316"/>
      <c r="B21" s="317" t="s">
        <v>406</v>
      </c>
      <c r="C21" s="492">
        <v>2602389.75</v>
      </c>
      <c r="D21" s="492">
        <v>2112664.7400000002</v>
      </c>
      <c r="E21" s="497">
        <f t="shared" si="0"/>
        <v>489725.00999999978</v>
      </c>
    </row>
    <row r="22" spans="1:14">
      <c r="A22" s="316"/>
      <c r="B22" s="317" t="s">
        <v>483</v>
      </c>
      <c r="C22" s="492">
        <v>382228.91</v>
      </c>
      <c r="D22" s="492">
        <v>287695.21999999997</v>
      </c>
      <c r="E22" s="497">
        <f t="shared" si="0"/>
        <v>94533.69</v>
      </c>
    </row>
    <row r="23" spans="1:14">
      <c r="A23" s="316"/>
      <c r="B23" s="317" t="s">
        <v>407</v>
      </c>
      <c r="C23" s="492">
        <v>143453.75</v>
      </c>
      <c r="D23" s="492">
        <v>116757.89</v>
      </c>
      <c r="E23" s="497">
        <f t="shared" si="0"/>
        <v>26695.86</v>
      </c>
    </row>
    <row r="24" spans="1:14">
      <c r="A24" s="316"/>
      <c r="B24" s="452" t="s">
        <v>467</v>
      </c>
      <c r="C24" s="492">
        <v>8398383.5099999998</v>
      </c>
      <c r="D24" s="492">
        <v>6776850.4199999999</v>
      </c>
      <c r="E24" s="497">
        <f t="shared" si="0"/>
        <v>1621533.0899999999</v>
      </c>
      <c r="N24" s="500"/>
    </row>
    <row r="25" spans="1:14">
      <c r="A25" s="316"/>
      <c r="B25" s="452" t="s">
        <v>466</v>
      </c>
      <c r="C25" s="492">
        <v>1007867.83</v>
      </c>
      <c r="D25" s="493">
        <v>762490.38</v>
      </c>
      <c r="E25" s="497">
        <f t="shared" si="0"/>
        <v>245377.44999999995</v>
      </c>
    </row>
    <row r="26" spans="1:14">
      <c r="A26" s="316"/>
      <c r="B26" s="317" t="s">
        <v>408</v>
      </c>
      <c r="C26" s="492">
        <v>240028.51</v>
      </c>
      <c r="D26" s="492">
        <v>188409.87</v>
      </c>
      <c r="E26" s="497">
        <f t="shared" si="0"/>
        <v>51618.640000000014</v>
      </c>
    </row>
    <row r="27" spans="1:14">
      <c r="A27" s="316"/>
      <c r="B27" s="452" t="s">
        <v>424</v>
      </c>
      <c r="C27" s="492"/>
      <c r="D27" s="495"/>
      <c r="E27" s="497">
        <f t="shared" si="0"/>
        <v>0</v>
      </c>
    </row>
    <row r="28" spans="1:14">
      <c r="A28" s="316"/>
      <c r="B28" s="317" t="s">
        <v>409</v>
      </c>
      <c r="C28" s="492">
        <v>2142222.67</v>
      </c>
      <c r="D28" s="492">
        <v>1908629.95</v>
      </c>
      <c r="E28" s="497">
        <f t="shared" si="0"/>
        <v>233592.71999999997</v>
      </c>
      <c r="G28" s="130"/>
      <c r="H28" s="130"/>
      <c r="I28" s="130"/>
    </row>
    <row r="29" spans="1:14">
      <c r="A29" s="316"/>
      <c r="B29" s="317" t="s">
        <v>410</v>
      </c>
      <c r="C29" s="492">
        <v>923790.47</v>
      </c>
      <c r="D29" s="492">
        <v>734447.85</v>
      </c>
      <c r="E29" s="497">
        <f t="shared" si="0"/>
        <v>189342.62</v>
      </c>
    </row>
    <row r="30" spans="1:14">
      <c r="A30" s="316"/>
      <c r="B30" s="452" t="s">
        <v>425</v>
      </c>
      <c r="C30" s="492">
        <v>53747.839999999997</v>
      </c>
      <c r="D30" s="492">
        <v>40601.120000000003</v>
      </c>
      <c r="E30" s="497">
        <f t="shared" si="0"/>
        <v>13146.719999999994</v>
      </c>
    </row>
    <row r="31" spans="1:14">
      <c r="A31" s="316"/>
      <c r="B31" s="452" t="s">
        <v>426</v>
      </c>
      <c r="C31" s="492">
        <v>15265.77</v>
      </c>
      <c r="D31" s="492">
        <v>12548.46</v>
      </c>
      <c r="E31" s="497">
        <f t="shared" si="0"/>
        <v>2717.3100000000013</v>
      </c>
    </row>
    <row r="32" spans="1:14">
      <c r="A32" s="316"/>
      <c r="B32" s="452" t="s">
        <v>427</v>
      </c>
      <c r="C32" s="492">
        <v>1996438.17</v>
      </c>
      <c r="D32" s="492">
        <v>1504497.06</v>
      </c>
      <c r="E32" s="497">
        <f t="shared" si="0"/>
        <v>491941.10999999987</v>
      </c>
    </row>
    <row r="33" spans="1:14">
      <c r="A33" s="316"/>
      <c r="B33" s="452" t="s">
        <v>468</v>
      </c>
      <c r="C33" s="492">
        <v>26084.93</v>
      </c>
      <c r="D33" s="492">
        <v>26045.46</v>
      </c>
      <c r="E33" s="497">
        <f t="shared" si="0"/>
        <v>39.470000000001164</v>
      </c>
    </row>
    <row r="34" spans="1:14">
      <c r="A34" s="316"/>
      <c r="B34" s="452" t="s">
        <v>411</v>
      </c>
      <c r="C34" s="496">
        <v>91274.55</v>
      </c>
      <c r="D34" s="496">
        <v>73895.45</v>
      </c>
      <c r="E34" s="497">
        <f t="shared" si="0"/>
        <v>17379.100000000006</v>
      </c>
    </row>
    <row r="35" spans="1:14">
      <c r="A35" s="316"/>
      <c r="B35" s="452" t="s">
        <v>412</v>
      </c>
      <c r="C35" s="492">
        <v>5745387.4400000004</v>
      </c>
      <c r="D35" s="492">
        <v>4699685.0599999996</v>
      </c>
      <c r="E35" s="497">
        <f>+C35-D35</f>
        <v>1045702.3800000008</v>
      </c>
      <c r="F35" s="50"/>
    </row>
    <row r="36" spans="1:14">
      <c r="A36" s="316"/>
      <c r="B36" s="452" t="s">
        <v>428</v>
      </c>
      <c r="C36" s="492">
        <v>5103.74</v>
      </c>
      <c r="D36" s="492">
        <v>4082.94</v>
      </c>
      <c r="E36" s="497">
        <f>+C36-D36</f>
        <v>1020.7999999999997</v>
      </c>
      <c r="F36" s="50"/>
    </row>
    <row r="37" spans="1:14">
      <c r="A37" s="316"/>
      <c r="B37" s="452" t="s">
        <v>484</v>
      </c>
      <c r="C37" s="492">
        <v>745145.83</v>
      </c>
      <c r="D37" s="492">
        <v>596109.64</v>
      </c>
      <c r="E37" s="497">
        <f>+C37-D37</f>
        <v>149036.18999999994</v>
      </c>
      <c r="F37" s="50"/>
    </row>
    <row r="38" spans="1:14">
      <c r="A38" s="316"/>
      <c r="B38" s="452" t="s">
        <v>485</v>
      </c>
      <c r="C38" s="492">
        <v>239875.71</v>
      </c>
      <c r="D38" s="492">
        <v>191898.31</v>
      </c>
      <c r="E38" s="497">
        <f>+C38-D38</f>
        <v>47977.399999999994</v>
      </c>
      <c r="F38" s="50"/>
    </row>
    <row r="39" spans="1:14">
      <c r="A39" s="316"/>
      <c r="B39" s="452" t="s">
        <v>429</v>
      </c>
      <c r="C39" s="492">
        <v>64511.26</v>
      </c>
      <c r="D39" s="492">
        <v>51608.4</v>
      </c>
      <c r="E39" s="497">
        <f>+C39-D39</f>
        <v>12902.86</v>
      </c>
      <c r="F39" s="50"/>
    </row>
    <row r="40" spans="1:14" ht="13.5" thickBot="1">
      <c r="A40" s="316"/>
      <c r="B40" s="317" t="s">
        <v>335</v>
      </c>
      <c r="C40" s="392">
        <f>SUM(C6:C39)</f>
        <v>115144654.43000002</v>
      </c>
      <c r="D40" s="517">
        <f>SUM(D6:D39)</f>
        <v>101986771.5</v>
      </c>
      <c r="E40" s="518">
        <f>SUM(E6:E39)</f>
        <v>13157882.930000002</v>
      </c>
      <c r="F40" s="130"/>
    </row>
    <row r="41" spans="1:14" ht="13.5" thickTop="1">
      <c r="A41" s="316"/>
      <c r="B41" s="317"/>
      <c r="C41" s="391"/>
      <c r="D41" s="391"/>
      <c r="E41" s="315"/>
      <c r="F41" s="130"/>
    </row>
    <row r="42" spans="1:14">
      <c r="A42" s="316"/>
      <c r="B42" s="317"/>
      <c r="C42" s="391"/>
      <c r="D42" s="391"/>
      <c r="E42" s="315"/>
      <c r="L42" s="130"/>
      <c r="M42" s="130"/>
      <c r="N42" s="130"/>
    </row>
    <row r="43" spans="1:14">
      <c r="A43" s="316" t="s">
        <v>268</v>
      </c>
      <c r="B43" s="317" t="s">
        <v>402</v>
      </c>
      <c r="C43" s="492">
        <v>0</v>
      </c>
      <c r="D43" s="492">
        <v>0</v>
      </c>
      <c r="E43" s="497">
        <f>+C43-D43</f>
        <v>0</v>
      </c>
      <c r="H43" s="326" t="s">
        <v>445</v>
      </c>
    </row>
    <row r="44" spans="1:14">
      <c r="A44" s="316"/>
      <c r="B44" s="317" t="s">
        <v>413</v>
      </c>
      <c r="C44" s="492">
        <v>0</v>
      </c>
      <c r="D44" s="492">
        <v>0</v>
      </c>
      <c r="E44" s="497">
        <f>+C44-D44</f>
        <v>0</v>
      </c>
      <c r="H44" t="s">
        <v>487</v>
      </c>
      <c r="L44" s="130"/>
      <c r="M44" s="130"/>
      <c r="N44" s="130"/>
    </row>
    <row r="45" spans="1:14" ht="13.5" thickBot="1">
      <c r="A45" s="316"/>
      <c r="B45" s="317" t="s">
        <v>335</v>
      </c>
      <c r="C45" s="517">
        <v>0</v>
      </c>
      <c r="D45" s="517">
        <v>0</v>
      </c>
      <c r="E45" s="393">
        <f>E43+E44</f>
        <v>0</v>
      </c>
      <c r="F45" s="130"/>
      <c r="H45" t="s">
        <v>488</v>
      </c>
      <c r="L45" s="130"/>
      <c r="M45" s="130"/>
      <c r="N45" s="130"/>
    </row>
    <row r="46" spans="1:14" ht="13.5" thickTop="1">
      <c r="A46" s="316"/>
      <c r="B46" s="317"/>
      <c r="C46" s="391"/>
      <c r="D46" s="391"/>
      <c r="E46" s="315"/>
      <c r="L46" s="130"/>
      <c r="M46" s="130"/>
      <c r="N46" s="130"/>
    </row>
    <row r="47" spans="1:14">
      <c r="A47" s="316"/>
      <c r="B47" s="317"/>
      <c r="C47" s="391"/>
      <c r="D47" s="391"/>
      <c r="E47" s="315"/>
      <c r="L47" s="130"/>
      <c r="M47" s="130"/>
      <c r="N47" s="130"/>
    </row>
    <row r="48" spans="1:14" ht="15" customHeight="1">
      <c r="A48" s="316" t="s">
        <v>269</v>
      </c>
      <c r="B48" s="317" t="s">
        <v>402</v>
      </c>
      <c r="C48" s="391">
        <v>415875.65</v>
      </c>
      <c r="D48" s="391">
        <f>+C48-E48</f>
        <v>322392.05000000005</v>
      </c>
      <c r="E48" s="315">
        <v>93483.6</v>
      </c>
      <c r="H48" s="326" t="s">
        <v>446</v>
      </c>
    </row>
    <row r="49" spans="1:8">
      <c r="A49" s="316"/>
      <c r="B49" s="317" t="s">
        <v>341</v>
      </c>
      <c r="C49" s="391">
        <v>3403596.19</v>
      </c>
      <c r="D49" s="391">
        <f t="shared" ref="D49:D53" si="1">+C49-E49</f>
        <v>2638519</v>
      </c>
      <c r="E49" s="315">
        <v>765077.19</v>
      </c>
      <c r="H49" t="s">
        <v>490</v>
      </c>
    </row>
    <row r="50" spans="1:8">
      <c r="A50" s="316"/>
      <c r="B50" s="317" t="s">
        <v>414</v>
      </c>
      <c r="C50" s="391">
        <v>1368450.65</v>
      </c>
      <c r="D50" s="391">
        <f t="shared" si="1"/>
        <v>1056850.6299999999</v>
      </c>
      <c r="E50" s="315">
        <v>311600.02</v>
      </c>
    </row>
    <row r="51" spans="1:8">
      <c r="A51" s="316"/>
      <c r="B51" s="317" t="s">
        <v>496</v>
      </c>
      <c r="C51" s="391">
        <v>722009.66</v>
      </c>
      <c r="D51" s="391">
        <f t="shared" si="1"/>
        <v>593040.38</v>
      </c>
      <c r="E51" s="315">
        <v>128969.28</v>
      </c>
      <c r="H51" s="14" t="s">
        <v>575</v>
      </c>
    </row>
    <row r="52" spans="1:8">
      <c r="A52" s="316"/>
      <c r="B52" s="317" t="s">
        <v>430</v>
      </c>
      <c r="C52" s="391">
        <v>971810.99</v>
      </c>
      <c r="D52" s="391">
        <f t="shared" si="1"/>
        <v>757362.37</v>
      </c>
      <c r="E52" s="315">
        <v>214448.62</v>
      </c>
    </row>
    <row r="53" spans="1:8">
      <c r="A53" s="316"/>
      <c r="B53" s="317" t="s">
        <v>415</v>
      </c>
      <c r="C53" s="391">
        <v>2860688.16</v>
      </c>
      <c r="D53" s="391">
        <f t="shared" si="1"/>
        <v>2860688.16</v>
      </c>
      <c r="E53" s="315">
        <v>0</v>
      </c>
    </row>
    <row r="54" spans="1:8" ht="13.5" thickBot="1">
      <c r="A54" s="316"/>
      <c r="B54" s="317" t="s">
        <v>335</v>
      </c>
      <c r="C54" s="392">
        <f>SUM(C48:C53)</f>
        <v>9742431.3000000007</v>
      </c>
      <c r="D54" s="392">
        <f>SUM(D48:D53)</f>
        <v>8228852.5899999999</v>
      </c>
      <c r="E54" s="393">
        <f>SUM(E48:E53)</f>
        <v>1513578.71</v>
      </c>
      <c r="F54" s="130"/>
    </row>
    <row r="55" spans="1:8" ht="13.5" thickTop="1">
      <c r="A55" s="316"/>
      <c r="B55" s="317"/>
      <c r="C55" s="391"/>
      <c r="D55" s="391"/>
      <c r="E55" s="315"/>
    </row>
    <row r="56" spans="1:8" ht="13.5" thickBot="1">
      <c r="A56" s="318"/>
      <c r="B56" s="319" t="s">
        <v>416</v>
      </c>
      <c r="C56" s="519">
        <f>+C40+C45+C54</f>
        <v>124887085.73000002</v>
      </c>
      <c r="D56" s="520">
        <f>+D40+D45+D54</f>
        <v>110215624.09</v>
      </c>
      <c r="E56" s="521">
        <f>+E40+E45+E54</f>
        <v>14671461.640000001</v>
      </c>
      <c r="F56" s="130"/>
    </row>
    <row r="58" spans="1:8">
      <c r="A58" s="50" t="s">
        <v>417</v>
      </c>
    </row>
    <row r="62" spans="1:8" ht="15.75">
      <c r="A62" s="533" t="s">
        <v>509</v>
      </c>
      <c r="B62" s="50"/>
      <c r="C62" s="440"/>
      <c r="D62" s="50"/>
      <c r="E62" s="211"/>
      <c r="F62" s="50"/>
      <c r="G62" s="50"/>
      <c r="H62" s="14"/>
    </row>
    <row r="63" spans="1:8" ht="15.75">
      <c r="A63" s="533" t="s">
        <v>510</v>
      </c>
      <c r="B63" s="328"/>
      <c r="C63" s="438"/>
      <c r="D63" s="84"/>
      <c r="E63" s="210"/>
      <c r="F63" s="84"/>
      <c r="G63" s="84" t="s">
        <v>511</v>
      </c>
      <c r="H63" s="14"/>
    </row>
    <row r="64" spans="1:8" ht="15.75">
      <c r="A64" s="533" t="s">
        <v>512</v>
      </c>
      <c r="B64" s="59" t="s">
        <v>513</v>
      </c>
      <c r="C64" s="59" t="s">
        <v>513</v>
      </c>
      <c r="D64" s="59" t="s">
        <v>513</v>
      </c>
      <c r="E64" s="59" t="s">
        <v>513</v>
      </c>
      <c r="F64" s="84" t="s">
        <v>514</v>
      </c>
      <c r="G64" s="84" t="s">
        <v>514</v>
      </c>
      <c r="H64" s="14"/>
    </row>
    <row r="65" spans="1:8">
      <c r="A65" s="50" t="s">
        <v>509</v>
      </c>
      <c r="B65" s="59" t="s">
        <v>515</v>
      </c>
      <c r="C65" s="59" t="s">
        <v>516</v>
      </c>
      <c r="D65" s="59" t="s">
        <v>516</v>
      </c>
      <c r="E65" s="59" t="s">
        <v>516</v>
      </c>
      <c r="F65" s="50" t="s">
        <v>517</v>
      </c>
      <c r="G65" s="50" t="s">
        <v>517</v>
      </c>
    </row>
    <row r="66" spans="1:8" ht="15.75">
      <c r="A66" s="50" t="s">
        <v>518</v>
      </c>
      <c r="B66" s="50" t="s">
        <v>518</v>
      </c>
      <c r="C66" s="534" t="s">
        <v>519</v>
      </c>
      <c r="D66" s="59" t="s">
        <v>520</v>
      </c>
      <c r="E66" s="59" t="s">
        <v>521</v>
      </c>
      <c r="F66" s="59" t="s">
        <v>522</v>
      </c>
      <c r="G66" s="59" t="s">
        <v>523</v>
      </c>
      <c r="H66" s="535" t="s">
        <v>524</v>
      </c>
    </row>
    <row r="67" spans="1:8">
      <c r="B67" s="385"/>
      <c r="C67" s="385"/>
      <c r="D67" s="385"/>
      <c r="E67" s="534"/>
      <c r="F67" s="385"/>
      <c r="G67" s="385"/>
      <c r="H67" s="385"/>
    </row>
    <row r="68" spans="1:8">
      <c r="A68" s="50" t="s">
        <v>525</v>
      </c>
      <c r="B68" s="385">
        <v>37559.11</v>
      </c>
      <c r="C68" s="385">
        <v>254.53</v>
      </c>
      <c r="D68" s="385">
        <v>165.26</v>
      </c>
      <c r="E68" s="481">
        <v>167.79</v>
      </c>
      <c r="F68" s="385">
        <v>38173.08</v>
      </c>
      <c r="G68" s="385">
        <v>76319.789999999994</v>
      </c>
      <c r="H68" s="534">
        <f>SUM(B68:G68)</f>
        <v>152639.56</v>
      </c>
    </row>
    <row r="69" spans="1:8">
      <c r="A69" s="50" t="s">
        <v>526</v>
      </c>
      <c r="B69" s="385">
        <v>171279.5</v>
      </c>
      <c r="C69" s="385">
        <v>1160.74</v>
      </c>
      <c r="D69" s="385">
        <v>753.65</v>
      </c>
      <c r="E69" s="481">
        <v>765.18</v>
      </c>
      <c r="F69" s="385">
        <v>174079.35999999999</v>
      </c>
      <c r="G69" s="385">
        <v>348031.77</v>
      </c>
      <c r="H69" s="534">
        <f t="shared" ref="H69:H89" si="2">SUM(B69:G69)</f>
        <v>696070.2</v>
      </c>
    </row>
    <row r="70" spans="1:8">
      <c r="A70" s="50" t="s">
        <v>527</v>
      </c>
      <c r="B70" s="385">
        <v>0</v>
      </c>
      <c r="C70" s="385">
        <v>0</v>
      </c>
      <c r="D70" s="385">
        <v>0</v>
      </c>
      <c r="E70" s="481">
        <v>0</v>
      </c>
      <c r="F70" s="385">
        <v>0</v>
      </c>
      <c r="G70" s="385">
        <v>0</v>
      </c>
      <c r="H70" s="534">
        <f t="shared" si="2"/>
        <v>0</v>
      </c>
    </row>
    <row r="71" spans="1:8">
      <c r="A71" s="50" t="s">
        <v>528</v>
      </c>
      <c r="B71" s="385">
        <v>2453.86</v>
      </c>
      <c r="C71" s="385">
        <v>16.63</v>
      </c>
      <c r="D71" s="385">
        <v>10.8</v>
      </c>
      <c r="E71" s="481">
        <v>10.97</v>
      </c>
      <c r="F71" s="385">
        <v>2493.9699999999998</v>
      </c>
      <c r="G71" s="385">
        <v>4986.13</v>
      </c>
      <c r="H71" s="534">
        <f t="shared" si="2"/>
        <v>9972.36</v>
      </c>
    </row>
    <row r="72" spans="1:8">
      <c r="A72" s="50" t="s">
        <v>529</v>
      </c>
      <c r="B72" s="385">
        <v>12923.67</v>
      </c>
      <c r="C72" s="385">
        <v>87.58</v>
      </c>
      <c r="D72" s="385">
        <v>56.87</v>
      </c>
      <c r="E72" s="481">
        <v>57.73</v>
      </c>
      <c r="F72" s="385">
        <v>13134.93</v>
      </c>
      <c r="G72" s="385">
        <v>26260.27</v>
      </c>
      <c r="H72" s="534">
        <f t="shared" si="2"/>
        <v>52521.05</v>
      </c>
    </row>
    <row r="73" spans="1:8">
      <c r="A73" s="50" t="s">
        <v>530</v>
      </c>
      <c r="B73" s="385">
        <v>3288.17</v>
      </c>
      <c r="C73" s="385">
        <v>22.28</v>
      </c>
      <c r="D73" s="385">
        <v>14.47</v>
      </c>
      <c r="E73" s="481">
        <v>14.69</v>
      </c>
      <c r="F73" s="385">
        <v>3341.93</v>
      </c>
      <c r="G73" s="385">
        <v>6681.41</v>
      </c>
      <c r="H73" s="534">
        <f t="shared" si="2"/>
        <v>13362.95</v>
      </c>
    </row>
    <row r="74" spans="1:8">
      <c r="A74" s="50" t="s">
        <v>531</v>
      </c>
      <c r="B74" s="385">
        <v>2453.86</v>
      </c>
      <c r="C74" s="385">
        <v>16.63</v>
      </c>
      <c r="D74" s="385">
        <v>10.8</v>
      </c>
      <c r="E74" s="481">
        <v>10.97</v>
      </c>
      <c r="F74" s="385">
        <v>2493.9699999999998</v>
      </c>
      <c r="G74" s="385">
        <v>4986.13</v>
      </c>
      <c r="H74" s="534">
        <f t="shared" si="2"/>
        <v>9972.36</v>
      </c>
    </row>
    <row r="75" spans="1:8">
      <c r="A75" s="50" t="s">
        <v>462</v>
      </c>
      <c r="B75" s="385">
        <v>638</v>
      </c>
      <c r="C75" s="385">
        <v>4.32</v>
      </c>
      <c r="D75" s="385">
        <v>2.81</v>
      </c>
      <c r="E75" s="481">
        <v>2.85</v>
      </c>
      <c r="F75" s="385">
        <v>648.44000000000005</v>
      </c>
      <c r="G75" s="385">
        <v>1296.4000000000001</v>
      </c>
      <c r="H75" s="534">
        <f t="shared" si="2"/>
        <v>2592.8200000000002</v>
      </c>
    </row>
    <row r="76" spans="1:8">
      <c r="A76" s="50" t="s">
        <v>532</v>
      </c>
      <c r="B76" s="385">
        <v>13087.26</v>
      </c>
      <c r="C76" s="385">
        <v>88.69</v>
      </c>
      <c r="D76" s="385">
        <v>57.58</v>
      </c>
      <c r="E76" s="481">
        <v>58.47</v>
      </c>
      <c r="F76" s="385">
        <v>13301.19</v>
      </c>
      <c r="G76" s="385">
        <v>26592.68</v>
      </c>
      <c r="H76" s="534">
        <f t="shared" si="2"/>
        <v>53185.87</v>
      </c>
    </row>
    <row r="77" spans="1:8">
      <c r="A77" s="50" t="s">
        <v>533</v>
      </c>
      <c r="B77" s="385">
        <v>1914.01</v>
      </c>
      <c r="C77" s="385">
        <v>12.97</v>
      </c>
      <c r="D77" s="385">
        <v>8.42</v>
      </c>
      <c r="E77" s="481">
        <v>8.5500000000000007</v>
      </c>
      <c r="F77" s="385">
        <v>1945.3</v>
      </c>
      <c r="G77" s="385">
        <v>3889.18</v>
      </c>
      <c r="H77" s="534">
        <f t="shared" si="2"/>
        <v>7778.43</v>
      </c>
    </row>
    <row r="78" spans="1:8">
      <c r="A78" s="50" t="s">
        <v>164</v>
      </c>
      <c r="B78" s="385">
        <v>5725.68</v>
      </c>
      <c r="C78" s="385">
        <v>38.799999999999997</v>
      </c>
      <c r="D78" s="385">
        <v>25.19</v>
      </c>
      <c r="E78" s="481">
        <v>25.58</v>
      </c>
      <c r="F78" s="385">
        <v>5819.27</v>
      </c>
      <c r="G78" s="385">
        <v>11634.3</v>
      </c>
      <c r="H78" s="534">
        <f t="shared" si="2"/>
        <v>23268.82</v>
      </c>
    </row>
    <row r="79" spans="1:8">
      <c r="A79" s="50" t="s">
        <v>534</v>
      </c>
      <c r="B79" s="385">
        <v>4089.77</v>
      </c>
      <c r="C79" s="385">
        <v>27.71</v>
      </c>
      <c r="D79" s="385">
        <v>17.989999999999998</v>
      </c>
      <c r="E79" s="481">
        <v>18.28</v>
      </c>
      <c r="F79" s="385">
        <v>4156.62</v>
      </c>
      <c r="G79" s="385">
        <v>8310.2199999999993</v>
      </c>
      <c r="H79" s="534">
        <f t="shared" si="2"/>
        <v>16620.589999999997</v>
      </c>
    </row>
    <row r="80" spans="1:8">
      <c r="A80" s="50" t="s">
        <v>535</v>
      </c>
      <c r="B80" s="385">
        <v>817.95</v>
      </c>
      <c r="C80" s="385">
        <v>5.55</v>
      </c>
      <c r="D80" s="385">
        <v>3.6</v>
      </c>
      <c r="E80" s="481">
        <v>3.66</v>
      </c>
      <c r="F80" s="385">
        <v>831.33</v>
      </c>
      <c r="G80" s="385">
        <v>1662.04</v>
      </c>
      <c r="H80" s="534">
        <f t="shared" si="2"/>
        <v>3324.13</v>
      </c>
    </row>
    <row r="81" spans="1:8">
      <c r="A81" s="50" t="s">
        <v>103</v>
      </c>
      <c r="B81" s="385">
        <v>981.55</v>
      </c>
      <c r="C81" s="385">
        <v>6.65</v>
      </c>
      <c r="D81" s="385">
        <v>4.32</v>
      </c>
      <c r="E81" s="481">
        <v>4.38</v>
      </c>
      <c r="F81" s="385">
        <v>997.59</v>
      </c>
      <c r="G81" s="385">
        <v>1994.45</v>
      </c>
      <c r="H81" s="534">
        <f t="shared" si="2"/>
        <v>3988.94</v>
      </c>
    </row>
    <row r="82" spans="1:8">
      <c r="A82" s="50" t="s">
        <v>536</v>
      </c>
      <c r="B82" s="385">
        <v>122693.05</v>
      </c>
      <c r="C82" s="385">
        <v>831.49</v>
      </c>
      <c r="D82" s="385">
        <v>539.86</v>
      </c>
      <c r="E82" s="481">
        <v>548.13</v>
      </c>
      <c r="F82" s="385">
        <v>124698.69</v>
      </c>
      <c r="G82" s="385">
        <v>249306.43</v>
      </c>
      <c r="H82" s="534">
        <f t="shared" si="2"/>
        <v>498617.65</v>
      </c>
    </row>
    <row r="83" spans="1:8">
      <c r="A83" s="50" t="s">
        <v>537</v>
      </c>
      <c r="B83" s="385">
        <v>95700.58</v>
      </c>
      <c r="C83" s="385">
        <v>648.55999999999995</v>
      </c>
      <c r="D83" s="385">
        <v>421.09</v>
      </c>
      <c r="E83" s="481">
        <v>427.54</v>
      </c>
      <c r="F83" s="385">
        <v>97264.97</v>
      </c>
      <c r="G83" s="385">
        <v>194459.01</v>
      </c>
      <c r="H83" s="534">
        <f t="shared" si="2"/>
        <v>388921.75</v>
      </c>
    </row>
    <row r="84" spans="1:8">
      <c r="A84" s="50" t="s">
        <v>538</v>
      </c>
      <c r="B84" s="385">
        <v>66777.740000000005</v>
      </c>
      <c r="C84" s="385">
        <v>452.55</v>
      </c>
      <c r="D84" s="385">
        <v>293.83</v>
      </c>
      <c r="E84" s="481">
        <v>298.32</v>
      </c>
      <c r="F84" s="385">
        <v>67869.34</v>
      </c>
      <c r="G84" s="385">
        <v>135689.18</v>
      </c>
      <c r="H84" s="534">
        <f t="shared" si="2"/>
        <v>271380.96000000002</v>
      </c>
    </row>
    <row r="85" spans="1:8">
      <c r="A85" s="50" t="s">
        <v>539</v>
      </c>
      <c r="B85" s="385">
        <v>32718.14</v>
      </c>
      <c r="C85" s="385">
        <v>221.73</v>
      </c>
      <c r="D85" s="385">
        <v>143.97</v>
      </c>
      <c r="E85" s="481">
        <v>146.16</v>
      </c>
      <c r="F85" s="385">
        <v>33252.980000000003</v>
      </c>
      <c r="G85" s="385">
        <v>66481.73</v>
      </c>
      <c r="H85" s="534">
        <f t="shared" si="2"/>
        <v>132964.71000000002</v>
      </c>
    </row>
    <row r="86" spans="1:8">
      <c r="A86" s="50" t="s">
        <v>540</v>
      </c>
      <c r="B86" s="385">
        <v>32718.14</v>
      </c>
      <c r="C86" s="385">
        <v>221.73</v>
      </c>
      <c r="D86" s="385">
        <v>143.97</v>
      </c>
      <c r="E86" s="481">
        <v>146.16</v>
      </c>
      <c r="F86" s="385">
        <v>33252.980000000003</v>
      </c>
      <c r="G86" s="385">
        <v>66481.72</v>
      </c>
      <c r="H86" s="534">
        <f t="shared" si="2"/>
        <v>132964.70000000001</v>
      </c>
    </row>
    <row r="87" spans="1:8">
      <c r="A87" s="50" t="s">
        <v>541</v>
      </c>
      <c r="B87" s="385">
        <v>425.33</v>
      </c>
      <c r="C87" s="385">
        <v>2.88</v>
      </c>
      <c r="D87" s="385">
        <v>1.87</v>
      </c>
      <c r="E87" s="481">
        <v>1.9</v>
      </c>
      <c r="F87" s="385">
        <v>432.29</v>
      </c>
      <c r="G87" s="385">
        <v>864.26</v>
      </c>
      <c r="H87" s="534">
        <f t="shared" si="2"/>
        <v>1728.53</v>
      </c>
    </row>
    <row r="88" spans="1:8" ht="15">
      <c r="A88" s="50" t="s">
        <v>542</v>
      </c>
      <c r="B88" s="536">
        <v>245.38</v>
      </c>
      <c r="C88" s="536">
        <v>1.67</v>
      </c>
      <c r="D88" s="537">
        <v>1.08</v>
      </c>
      <c r="E88" s="537">
        <v>1.1000000000000001</v>
      </c>
      <c r="F88" s="537">
        <v>249.9</v>
      </c>
      <c r="G88" s="537">
        <v>498.61</v>
      </c>
      <c r="H88" s="538">
        <f t="shared" si="2"/>
        <v>997.74</v>
      </c>
    </row>
    <row r="89" spans="1:8">
      <c r="A89" s="50" t="s">
        <v>335</v>
      </c>
      <c r="B89" s="385">
        <f t="shared" ref="B89:G89" si="3">SUM(B68:B88)</f>
        <v>608490.75</v>
      </c>
      <c r="C89" s="385">
        <f t="shared" si="3"/>
        <v>4123.6900000000005</v>
      </c>
      <c r="D89" s="385">
        <f t="shared" si="3"/>
        <v>2677.4299999999994</v>
      </c>
      <c r="E89" s="385">
        <f t="shared" si="3"/>
        <v>2718.41</v>
      </c>
      <c r="F89" s="385">
        <f t="shared" si="3"/>
        <v>618438.12999999989</v>
      </c>
      <c r="G89" s="385">
        <f t="shared" si="3"/>
        <v>1236425.71</v>
      </c>
      <c r="H89" s="534">
        <f t="shared" si="2"/>
        <v>2472874.12</v>
      </c>
    </row>
    <row r="90" spans="1:8">
      <c r="B90" s="385"/>
      <c r="C90" s="385"/>
      <c r="D90" s="385"/>
      <c r="E90" s="534"/>
      <c r="F90" s="385"/>
      <c r="G90" s="385"/>
      <c r="H90" s="385"/>
    </row>
    <row r="91" spans="1:8">
      <c r="B91" s="385"/>
      <c r="C91" s="385"/>
      <c r="D91" s="385"/>
      <c r="E91" s="534"/>
      <c r="F91" s="385"/>
      <c r="G91" s="385"/>
      <c r="H91" s="385"/>
    </row>
    <row r="92" spans="1:8">
      <c r="B92" s="385"/>
      <c r="C92" s="385"/>
      <c r="D92" s="385"/>
      <c r="E92" s="534"/>
      <c r="F92" s="385"/>
      <c r="G92" s="385"/>
      <c r="H92" s="385"/>
    </row>
    <row r="93" spans="1:8">
      <c r="B93" s="385"/>
      <c r="C93" s="385"/>
      <c r="D93" s="385"/>
      <c r="E93" s="534"/>
      <c r="F93" s="385"/>
      <c r="G93" s="385"/>
      <c r="H93" s="385"/>
    </row>
    <row r="94" spans="1:8">
      <c r="B94" s="385"/>
      <c r="C94" s="385"/>
      <c r="D94" s="385"/>
      <c r="E94" s="534"/>
      <c r="F94" s="385"/>
      <c r="G94" s="385"/>
      <c r="H94" s="385"/>
    </row>
    <row r="95" spans="1:8">
      <c r="B95" s="385"/>
      <c r="C95" s="385"/>
      <c r="D95" s="385"/>
      <c r="E95" s="534"/>
      <c r="F95" s="385"/>
      <c r="G95" s="385"/>
      <c r="H95" s="385"/>
    </row>
  </sheetData>
  <pageMargins left="0.75" right="0.75" top="1" bottom="1" header="0.5" footer="0.5"/>
  <pageSetup scale="79" firstPageNumber="81" fitToHeight="0" orientation="portrait" r:id="rId1"/>
  <headerFooter alignWithMargins="0">
    <oddHeader>&amp;CFY 2025-26 Proforma Ad Valorem Revenue Projections
Property Tax Abatement Summary 
By Taxing Entity</oddHead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AF6FC"/>
    <pageSetUpPr fitToPage="1"/>
  </sheetPr>
  <dimension ref="A1:AB148"/>
  <sheetViews>
    <sheetView view="pageBreakPreview" topLeftCell="C1" zoomScale="70" zoomScaleNormal="80" zoomScaleSheetLayoutView="70" workbookViewId="0">
      <selection activeCell="A3" sqref="A3"/>
    </sheetView>
  </sheetViews>
  <sheetFormatPr defaultColWidth="9.140625" defaultRowHeight="12.75"/>
  <cols>
    <col min="1" max="1" width="29.28515625" style="47" customWidth="1"/>
    <col min="2" max="2" width="13.85546875" style="48" customWidth="1"/>
    <col min="3" max="3" width="14.5703125" style="48" customWidth="1"/>
    <col min="4" max="4" width="11" style="43" bestFit="1" customWidth="1"/>
    <col min="5" max="5" width="15.42578125" style="173" hidden="1" customWidth="1"/>
    <col min="6" max="6" width="20.5703125" style="43" bestFit="1" customWidth="1"/>
    <col min="7" max="7" width="16.85546875" style="43" customWidth="1"/>
    <col min="8" max="8" width="18.5703125" style="43" customWidth="1"/>
    <col min="9" max="10" width="15.140625" style="43" customWidth="1"/>
    <col min="11" max="11" width="15" style="43" customWidth="1"/>
    <col min="12" max="12" width="18.5703125" style="43" customWidth="1"/>
    <col min="13" max="13" width="17.85546875" style="43" customWidth="1"/>
    <col min="14" max="14" width="18.5703125" style="43" customWidth="1"/>
    <col min="15" max="15" width="17" style="43" customWidth="1"/>
    <col min="16" max="16" width="15.85546875" style="43" customWidth="1"/>
    <col min="17" max="17" width="20.42578125" style="43" customWidth="1"/>
    <col min="18" max="18" width="3" style="49" customWidth="1"/>
    <col min="19" max="19" width="19.5703125" style="49" customWidth="1"/>
    <col min="20" max="20" width="17.7109375" style="49" customWidth="1"/>
    <col min="21" max="21" width="15" style="49" customWidth="1"/>
    <col min="22" max="22" width="15.28515625" style="49" customWidth="1"/>
    <col min="23" max="23" width="16.140625" style="49" customWidth="1"/>
    <col min="24" max="24" width="15" style="49" bestFit="1" customWidth="1"/>
    <col min="25" max="25" width="5.28515625" style="49" bestFit="1" customWidth="1"/>
    <col min="26" max="26" width="15" style="49" bestFit="1" customWidth="1"/>
    <col min="27" max="16384" width="9.140625" style="49"/>
  </cols>
  <sheetData>
    <row r="1" spans="1:25" ht="15.75" customHeight="1">
      <c r="A1" s="1" t="s">
        <v>0</v>
      </c>
    </row>
    <row r="2" spans="1:25" ht="15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96" customHeight="1" thickBot="1">
      <c r="A3" s="6" t="s">
        <v>1</v>
      </c>
      <c r="B3" s="7" t="s">
        <v>555</v>
      </c>
      <c r="C3" s="7" t="s">
        <v>554</v>
      </c>
      <c r="D3" s="8" t="s">
        <v>2</v>
      </c>
      <c r="E3" s="202" t="s">
        <v>369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  <c r="S3" s="9" t="s">
        <v>463</v>
      </c>
      <c r="T3" s="9" t="s">
        <v>464</v>
      </c>
    </row>
    <row r="4" spans="1:25">
      <c r="A4" s="50"/>
      <c r="B4" s="51"/>
      <c r="C4" s="51"/>
      <c r="D4" s="52"/>
      <c r="E4" s="203"/>
      <c r="F4" s="52"/>
    </row>
    <row r="5" spans="1:25">
      <c r="A5" s="54" t="s">
        <v>10</v>
      </c>
      <c r="B5" s="51"/>
      <c r="C5" s="51"/>
      <c r="D5" s="52"/>
      <c r="E5" s="203"/>
      <c r="F5" s="52"/>
    </row>
    <row r="6" spans="1:25">
      <c r="A6" s="50"/>
      <c r="B6" s="51"/>
      <c r="C6" s="51"/>
      <c r="D6" s="52"/>
      <c r="E6" s="203"/>
      <c r="F6" s="52"/>
    </row>
    <row r="7" spans="1:25">
      <c r="A7" s="47" t="str">
        <f>A18</f>
        <v>STATE OF NEVADA</v>
      </c>
      <c r="B7" s="48">
        <f>B27</f>
        <v>0.17</v>
      </c>
      <c r="C7" s="48">
        <f t="shared" ref="C7:Q7" si="0">C27</f>
        <v>0</v>
      </c>
      <c r="D7" s="43">
        <f t="shared" si="0"/>
        <v>20783</v>
      </c>
      <c r="F7" s="43">
        <f>F27</f>
        <v>2720406426.662353</v>
      </c>
      <c r="G7" s="53">
        <f t="shared" si="0"/>
        <v>178297.25610000003</v>
      </c>
      <c r="H7" s="53">
        <f t="shared" si="0"/>
        <v>4467027.1877999995</v>
      </c>
      <c r="I7" s="53">
        <f t="shared" si="0"/>
        <v>0</v>
      </c>
      <c r="J7" s="53">
        <f t="shared" si="0"/>
        <v>16409.16</v>
      </c>
      <c r="K7" s="53">
        <f t="shared" si="0"/>
        <v>23.24</v>
      </c>
      <c r="L7" s="53">
        <f t="shared" si="0"/>
        <v>4628938.5238999994</v>
      </c>
      <c r="M7" s="53">
        <f t="shared" si="0"/>
        <v>628841.31999999995</v>
      </c>
      <c r="N7" s="53">
        <f t="shared" si="0"/>
        <v>4000097.2039000005</v>
      </c>
      <c r="O7" s="53">
        <f t="shared" si="0"/>
        <v>258259.36000000002</v>
      </c>
      <c r="P7" s="53">
        <f>P27</f>
        <v>0</v>
      </c>
      <c r="Q7" s="53">
        <f t="shared" si="0"/>
        <v>3741837.8439000002</v>
      </c>
      <c r="S7" s="82">
        <f>+L7</f>
        <v>4628938.5238999994</v>
      </c>
      <c r="T7" s="82">
        <f>+Q7</f>
        <v>3741837.8439000002</v>
      </c>
      <c r="W7" s="174" t="s">
        <v>15</v>
      </c>
      <c r="X7" s="284">
        <f>Q20+Q40+Q59+Q71+Q85+Q97+Q109+Q121</f>
        <v>69568332.790000007</v>
      </c>
      <c r="Y7" s="390" t="s">
        <v>461</v>
      </c>
    </row>
    <row r="8" spans="1:25">
      <c r="A8" s="49" t="str">
        <f>A30</f>
        <v>GENERAL COUNTY</v>
      </c>
      <c r="B8" s="48">
        <f t="shared" ref="B8:O8" si="1">B47</f>
        <v>2.19</v>
      </c>
      <c r="C8" s="48">
        <f t="shared" si="1"/>
        <v>0</v>
      </c>
      <c r="D8" s="43">
        <f t="shared" si="1"/>
        <v>20784</v>
      </c>
      <c r="F8" s="43">
        <f t="shared" si="1"/>
        <v>2720406281.0539727</v>
      </c>
      <c r="G8" s="53">
        <f t="shared" si="1"/>
        <v>2296888.3926999997</v>
      </c>
      <c r="H8" s="53">
        <f>H47</f>
        <v>57735298.274600007</v>
      </c>
      <c r="I8" s="53">
        <f t="shared" si="1"/>
        <v>0</v>
      </c>
      <c r="J8" s="53">
        <f t="shared" si="1"/>
        <v>211390.02000000005</v>
      </c>
      <c r="K8" s="53">
        <f t="shared" si="1"/>
        <v>299.37000000000012</v>
      </c>
      <c r="L8" s="53">
        <f t="shared" si="1"/>
        <v>59821096.017300002</v>
      </c>
      <c r="M8" s="53">
        <f t="shared" si="1"/>
        <v>10366046.449999999</v>
      </c>
      <c r="N8" s="53">
        <f t="shared" si="1"/>
        <v>49455049.567299999</v>
      </c>
      <c r="O8" s="53">
        <f t="shared" si="1"/>
        <v>3386180.88</v>
      </c>
      <c r="P8" s="53">
        <f>P47</f>
        <v>0</v>
      </c>
      <c r="Q8" s="53">
        <f>Q47</f>
        <v>46068868.687299997</v>
      </c>
      <c r="S8" s="82">
        <f>+L8</f>
        <v>59821096.017300002</v>
      </c>
      <c r="T8" s="82"/>
      <c r="W8" s="171" t="s">
        <v>16</v>
      </c>
      <c r="X8" s="284">
        <f>N21+Q41+Q60+Q72+Q86+Q98+Q110+Q122</f>
        <v>2336702.9780999999</v>
      </c>
    </row>
    <row r="9" spans="1:25">
      <c r="A9" s="47" t="str">
        <f>A57</f>
        <v>SCHOOL DISTRICT</v>
      </c>
      <c r="B9" s="48">
        <f t="shared" ref="B9:Q9" si="2">B80</f>
        <v>1.18</v>
      </c>
      <c r="C9" s="48">
        <f t="shared" si="2"/>
        <v>0</v>
      </c>
      <c r="D9" s="43">
        <f t="shared" si="2"/>
        <v>20783</v>
      </c>
      <c r="F9" s="43">
        <f t="shared" si="2"/>
        <v>2720406112.7800002</v>
      </c>
      <c r="G9" s="53">
        <f t="shared" si="2"/>
        <v>1237592.8494000002</v>
      </c>
      <c r="H9" s="53">
        <f t="shared" si="2"/>
        <v>31006440.501199998</v>
      </c>
      <c r="I9" s="53">
        <f t="shared" si="2"/>
        <v>0</v>
      </c>
      <c r="J9" s="53">
        <f t="shared" si="2"/>
        <v>113900.79000000001</v>
      </c>
      <c r="K9" s="53">
        <f t="shared" si="2"/>
        <v>161.31</v>
      </c>
      <c r="L9" s="53">
        <f t="shared" si="2"/>
        <v>32130293.870599993</v>
      </c>
      <c r="M9" s="53">
        <f t="shared" si="2"/>
        <v>4307029.9000000004</v>
      </c>
      <c r="N9" s="53">
        <f t="shared" si="2"/>
        <v>27823263.970600002</v>
      </c>
      <c r="O9" s="53">
        <f t="shared" si="2"/>
        <v>1211923.5400000003</v>
      </c>
      <c r="P9" s="53">
        <f>P80</f>
        <v>0</v>
      </c>
      <c r="Q9" s="53">
        <f t="shared" si="2"/>
        <v>26611340.430600002</v>
      </c>
      <c r="S9" s="82">
        <f>+L9</f>
        <v>32130293.870599993</v>
      </c>
      <c r="T9" s="82"/>
      <c r="W9" s="171" t="s">
        <v>17</v>
      </c>
      <c r="X9" s="284">
        <f t="shared" ref="X9" si="3">Q22+Q42+Q61+Q73+Q87+Q99+Q111+Q123</f>
        <v>2872823.0537999999</v>
      </c>
    </row>
    <row r="10" spans="1:25" ht="12.75" hidden="1" customHeight="1">
      <c r="A10" s="47" t="str">
        <f>A83</f>
        <v>EAGLE VALLEY UNDERGROUND WATER BASIN</v>
      </c>
      <c r="B10" s="48">
        <f t="shared" ref="B10:Q10" si="4">B92</f>
        <v>0</v>
      </c>
      <c r="C10" s="48">
        <f t="shared" si="4"/>
        <v>0</v>
      </c>
      <c r="D10" s="43">
        <f t="shared" si="4"/>
        <v>0</v>
      </c>
      <c r="F10" s="43">
        <f t="shared" si="4"/>
        <v>0</v>
      </c>
      <c r="G10" s="53">
        <f t="shared" si="4"/>
        <v>0</v>
      </c>
      <c r="H10" s="53">
        <f t="shared" si="4"/>
        <v>0</v>
      </c>
      <c r="I10" s="53">
        <f t="shared" si="4"/>
        <v>0</v>
      </c>
      <c r="J10" s="53">
        <f t="shared" si="4"/>
        <v>0</v>
      </c>
      <c r="K10" s="53">
        <f t="shared" si="4"/>
        <v>0</v>
      </c>
      <c r="L10" s="53">
        <f t="shared" si="4"/>
        <v>0</v>
      </c>
      <c r="M10" s="53">
        <f t="shared" si="4"/>
        <v>0</v>
      </c>
      <c r="N10" s="53">
        <f t="shared" si="4"/>
        <v>0</v>
      </c>
      <c r="O10" s="53">
        <f t="shared" si="4"/>
        <v>0</v>
      </c>
      <c r="P10" s="53">
        <f>P92</f>
        <v>0</v>
      </c>
      <c r="Q10" s="53">
        <f t="shared" si="4"/>
        <v>0</v>
      </c>
      <c r="S10" s="82">
        <v>524521.53</v>
      </c>
      <c r="T10" s="82">
        <v>2610915.62</v>
      </c>
      <c r="W10" s="171" t="s">
        <v>18</v>
      </c>
      <c r="X10" s="284"/>
    </row>
    <row r="11" spans="1:25">
      <c r="A11" s="47" t="str">
        <f>A95</f>
        <v>CARSON WATER SUBCONSERVANCY DISTRICT</v>
      </c>
      <c r="B11" s="48">
        <f t="shared" ref="B11:Q11" si="5">B104</f>
        <v>0.03</v>
      </c>
      <c r="C11" s="48">
        <f t="shared" si="5"/>
        <v>0</v>
      </c>
      <c r="D11" s="43">
        <f t="shared" si="5"/>
        <v>20781</v>
      </c>
      <c r="F11" s="43">
        <f t="shared" si="5"/>
        <v>2719816833.6533332</v>
      </c>
      <c r="G11" s="53">
        <f t="shared" si="5"/>
        <v>31445.689899999998</v>
      </c>
      <c r="H11" s="53">
        <f t="shared" si="5"/>
        <v>787699.60019999987</v>
      </c>
      <c r="I11" s="53">
        <f t="shared" si="5"/>
        <v>0</v>
      </c>
      <c r="J11" s="53">
        <f t="shared" si="5"/>
        <v>2893.44</v>
      </c>
      <c r="K11" s="53">
        <f t="shared" si="5"/>
        <v>4.1100000000000003</v>
      </c>
      <c r="L11" s="53">
        <f t="shared" si="5"/>
        <v>816255.96010000003</v>
      </c>
      <c r="M11" s="53">
        <f t="shared" si="5"/>
        <v>110945.15000000001</v>
      </c>
      <c r="N11" s="53">
        <f t="shared" si="5"/>
        <v>705310.81010000012</v>
      </c>
      <c r="O11" s="53">
        <f t="shared" si="5"/>
        <v>47366.79</v>
      </c>
      <c r="P11" s="53">
        <f>P104</f>
        <v>0</v>
      </c>
      <c r="Q11" s="53">
        <f t="shared" si="5"/>
        <v>657944.02009999997</v>
      </c>
      <c r="W11" s="285" t="s">
        <v>19</v>
      </c>
      <c r="X11" s="284">
        <f>Q24+Q44+Q63+Q75+Q89+Q101+Q113+Q125</f>
        <v>2018740.1799999997</v>
      </c>
      <c r="Y11" s="390" t="s">
        <v>461</v>
      </c>
    </row>
    <row r="12" spans="1:25" hidden="1">
      <c r="A12" s="47" t="str">
        <f>A107</f>
        <v>CARSON VALLEY UNDERGROUND WATER BASIN</v>
      </c>
      <c r="B12" s="48">
        <f t="shared" ref="B12:Q12" si="6">B116</f>
        <v>0</v>
      </c>
      <c r="C12" s="48">
        <f t="shared" si="6"/>
        <v>0</v>
      </c>
      <c r="D12" s="43">
        <f t="shared" si="6"/>
        <v>0</v>
      </c>
      <c r="F12" s="43">
        <f t="shared" si="6"/>
        <v>0</v>
      </c>
      <c r="G12" s="53">
        <f t="shared" si="6"/>
        <v>0</v>
      </c>
      <c r="H12" s="53">
        <f t="shared" si="6"/>
        <v>0</v>
      </c>
      <c r="I12" s="53">
        <f t="shared" si="6"/>
        <v>0</v>
      </c>
      <c r="J12" s="53">
        <f t="shared" si="6"/>
        <v>0</v>
      </c>
      <c r="K12" s="53">
        <f t="shared" si="6"/>
        <v>0</v>
      </c>
      <c r="L12" s="53">
        <f t="shared" si="6"/>
        <v>0</v>
      </c>
      <c r="M12" s="53">
        <f t="shared" si="6"/>
        <v>0</v>
      </c>
      <c r="N12" s="53">
        <f t="shared" si="6"/>
        <v>0</v>
      </c>
      <c r="O12" s="53">
        <f t="shared" si="6"/>
        <v>0</v>
      </c>
      <c r="P12" s="53">
        <f>P116</f>
        <v>0</v>
      </c>
      <c r="Q12" s="53">
        <f t="shared" si="6"/>
        <v>0</v>
      </c>
      <c r="W12" s="285" t="s">
        <v>20</v>
      </c>
      <c r="X12" s="284">
        <f t="shared" ref="X12:X13" si="7">Q25+Q45+Q64+Q76+Q90+Q102+Q114+Q126</f>
        <v>283391.98000000004</v>
      </c>
      <c r="Y12" s="390" t="s">
        <v>461</v>
      </c>
    </row>
    <row r="13" spans="1:25" hidden="1">
      <c r="A13" s="47" t="str">
        <f>A119</f>
        <v>SIERRA FOREST FIRE PROTECTION DISTRICT</v>
      </c>
      <c r="B13" s="48">
        <f t="shared" ref="B13:Q13" si="8">B128</f>
        <v>0</v>
      </c>
      <c r="C13" s="48">
        <f t="shared" si="8"/>
        <v>0</v>
      </c>
      <c r="D13" s="43">
        <f t="shared" si="8"/>
        <v>0</v>
      </c>
      <c r="F13" s="43">
        <f t="shared" si="8"/>
        <v>0</v>
      </c>
      <c r="G13" s="53">
        <f t="shared" si="8"/>
        <v>0</v>
      </c>
      <c r="H13" s="53">
        <f t="shared" si="8"/>
        <v>0</v>
      </c>
      <c r="I13" s="53">
        <f t="shared" si="8"/>
        <v>0</v>
      </c>
      <c r="J13" s="53">
        <f t="shared" si="8"/>
        <v>0</v>
      </c>
      <c r="K13" s="53">
        <f t="shared" si="8"/>
        <v>0</v>
      </c>
      <c r="L13" s="53">
        <f t="shared" si="8"/>
        <v>0</v>
      </c>
      <c r="M13" s="53">
        <f t="shared" si="8"/>
        <v>0</v>
      </c>
      <c r="N13" s="53">
        <f t="shared" si="8"/>
        <v>0</v>
      </c>
      <c r="O13" s="53">
        <f t="shared" si="8"/>
        <v>0</v>
      </c>
      <c r="P13" s="53">
        <f>P128</f>
        <v>0</v>
      </c>
      <c r="Q13" s="53">
        <f t="shared" si="8"/>
        <v>0</v>
      </c>
      <c r="W13" s="174"/>
      <c r="X13" s="284">
        <f t="shared" si="7"/>
        <v>0</v>
      </c>
      <c r="Y13" s="390" t="s">
        <v>461</v>
      </c>
    </row>
    <row r="14" spans="1:25">
      <c r="A14" s="57"/>
      <c r="B14" s="51"/>
      <c r="C14" s="51"/>
      <c r="D14" s="52"/>
      <c r="E14" s="203"/>
      <c r="F14" s="52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W14" s="491" t="s">
        <v>20</v>
      </c>
      <c r="X14" s="284">
        <f>Q25+Q45+Q64+Q76+Q90+Q102+Q114+Q126</f>
        <v>283391.98000000004</v>
      </c>
      <c r="Y14" s="390" t="s">
        <v>461</v>
      </c>
    </row>
    <row r="15" spans="1:25" ht="13.5" thickBot="1">
      <c r="A15" s="57" t="s">
        <v>14</v>
      </c>
      <c r="B15" s="51"/>
      <c r="C15" s="51">
        <v>0</v>
      </c>
      <c r="D15" s="69">
        <f>D7</f>
        <v>20783</v>
      </c>
      <c r="E15" s="204"/>
      <c r="F15" s="69">
        <f>F7</f>
        <v>2720406426.662353</v>
      </c>
      <c r="G15" s="70">
        <f>SUM(G7:G13)</f>
        <v>3744224.1880999999</v>
      </c>
      <c r="H15" s="70">
        <f>SUM(H7:H13)</f>
        <v>93996465.563800007</v>
      </c>
      <c r="I15" s="70">
        <f>SUM(I7:I12)</f>
        <v>0</v>
      </c>
      <c r="J15" s="70">
        <f t="shared" ref="J15:P15" si="9">SUM(J7:J13)</f>
        <v>344593.41000000009</v>
      </c>
      <c r="K15" s="70">
        <f t="shared" si="9"/>
        <v>488.03000000000014</v>
      </c>
      <c r="L15" s="70">
        <f t="shared" si="9"/>
        <v>97396584.371899992</v>
      </c>
      <c r="M15" s="70">
        <f t="shared" si="9"/>
        <v>15412862.82</v>
      </c>
      <c r="N15" s="70">
        <f t="shared" si="9"/>
        <v>81983721.551900014</v>
      </c>
      <c r="O15" s="70">
        <f t="shared" si="9"/>
        <v>4903730.57</v>
      </c>
      <c r="P15" s="70">
        <f t="shared" si="9"/>
        <v>0</v>
      </c>
      <c r="Q15" s="70">
        <f>SUM(Q7:Q13)</f>
        <v>77079990.981900007</v>
      </c>
      <c r="S15" s="320">
        <f>Q20+Q40+Q59+Q71+Q85+Q97+Q109+Q121</f>
        <v>69568332.790000007</v>
      </c>
      <c r="X15" s="284"/>
    </row>
    <row r="16" spans="1:25" ht="13.5" thickBot="1">
      <c r="A16" s="60"/>
      <c r="B16" s="61"/>
      <c r="C16" s="61"/>
      <c r="D16" s="62"/>
      <c r="E16" s="205"/>
      <c r="F16" s="62"/>
      <c r="G16" s="62"/>
      <c r="H16" s="62"/>
      <c r="I16" s="62"/>
      <c r="J16" s="62"/>
      <c r="K16" s="62"/>
      <c r="L16" s="279" t="s">
        <v>388</v>
      </c>
      <c r="M16" s="280">
        <f>M15/L15</f>
        <v>0.15824849423001722</v>
      </c>
      <c r="N16" s="62"/>
      <c r="O16" s="62"/>
      <c r="P16" s="62"/>
      <c r="Q16" s="62"/>
    </row>
    <row r="17" spans="1:24">
      <c r="A17" s="50"/>
      <c r="B17" s="51"/>
      <c r="C17" s="51"/>
      <c r="D17" s="52"/>
      <c r="E17" s="203"/>
      <c r="F17" s="52"/>
    </row>
    <row r="18" spans="1:24">
      <c r="A18" s="54" t="s">
        <v>11</v>
      </c>
      <c r="B18" s="51"/>
      <c r="C18" s="51"/>
      <c r="D18" s="52"/>
      <c r="E18" s="203"/>
      <c r="F18" s="52"/>
      <c r="G18" s="64"/>
    </row>
    <row r="19" spans="1:24">
      <c r="E19" s="65">
        <v>92574333</v>
      </c>
      <c r="G19" s="49"/>
    </row>
    <row r="20" spans="1:24">
      <c r="A20" s="49" t="s">
        <v>15</v>
      </c>
      <c r="B20" s="48">
        <v>0.17</v>
      </c>
      <c r="C20" s="48">
        <v>0</v>
      </c>
      <c r="D20" s="43">
        <v>20783</v>
      </c>
      <c r="E20" s="173">
        <f>+G20/B20*100</f>
        <v>27120294.117647056</v>
      </c>
      <c r="F20" s="43">
        <v>2504800934</v>
      </c>
      <c r="G20" s="53">
        <v>46104.5</v>
      </c>
      <c r="H20" s="53">
        <v>4230186.54</v>
      </c>
      <c r="I20" s="53">
        <f>F20*C20/100</f>
        <v>0</v>
      </c>
      <c r="J20" s="53">
        <v>13905.08</v>
      </c>
      <c r="K20" s="53">
        <v>23.24</v>
      </c>
      <c r="L20" s="53">
        <f>G20+H20+I20-J20+K20</f>
        <v>4262409.2</v>
      </c>
      <c r="M20" s="53">
        <v>622957.99</v>
      </c>
      <c r="N20" s="53">
        <f>L20-M20</f>
        <v>3639451.21</v>
      </c>
      <c r="O20" s="53">
        <v>252329.39</v>
      </c>
      <c r="P20" s="53">
        <v>0</v>
      </c>
      <c r="Q20" s="53">
        <f>N20-O20-P20</f>
        <v>3387121.82</v>
      </c>
    </row>
    <row r="21" spans="1:24">
      <c r="A21" s="47" t="s">
        <v>16</v>
      </c>
      <c r="B21" s="48">
        <f>B$20</f>
        <v>0.17</v>
      </c>
      <c r="C21" s="48">
        <f>C$20</f>
        <v>0</v>
      </c>
      <c r="E21" s="173">
        <v>23955081</v>
      </c>
      <c r="F21" s="329">
        <f>IF(E19&gt;E20,E19-E20,0)</f>
        <v>65454038.882352948</v>
      </c>
      <c r="G21" s="18">
        <f>F21*(B21-C21)/100</f>
        <v>111271.86610000001</v>
      </c>
      <c r="H21" s="53"/>
      <c r="I21" s="53"/>
      <c r="J21" s="53"/>
      <c r="K21" s="53"/>
      <c r="L21" s="53">
        <f>G21+H21+I21-J21+K21</f>
        <v>111271.86610000001</v>
      </c>
      <c r="M21" s="53"/>
      <c r="N21" s="53">
        <f>L21-M21</f>
        <v>111271.86610000001</v>
      </c>
      <c r="O21" s="53"/>
      <c r="P21" s="53"/>
      <c r="Q21" s="53">
        <f>N21-O21-P21</f>
        <v>111271.86610000001</v>
      </c>
    </row>
    <row r="22" spans="1:24">
      <c r="A22" s="47" t="s">
        <v>17</v>
      </c>
      <c r="B22" s="48">
        <f t="shared" ref="B22:C25" si="10">B$20</f>
        <v>0.17</v>
      </c>
      <c r="C22" s="48">
        <f t="shared" si="10"/>
        <v>0</v>
      </c>
      <c r="F22" s="66">
        <v>80471234</v>
      </c>
      <c r="G22" s="53"/>
      <c r="H22" s="53">
        <f>F22*(B22-C22)/100</f>
        <v>136801.09780000002</v>
      </c>
      <c r="I22" s="53">
        <f>F22*C22/100</f>
        <v>0</v>
      </c>
      <c r="J22" s="53">
        <v>0</v>
      </c>
      <c r="K22" s="53">
        <v>0</v>
      </c>
      <c r="L22" s="53">
        <f>G22+H22+I22-J22+K22</f>
        <v>136801.09780000002</v>
      </c>
      <c r="M22" s="53">
        <v>0</v>
      </c>
      <c r="N22" s="53">
        <f>L22-M22</f>
        <v>136801.09780000002</v>
      </c>
      <c r="O22" s="53">
        <v>0</v>
      </c>
      <c r="P22" s="53">
        <v>0</v>
      </c>
      <c r="Q22" s="53">
        <f>N22-O22-P22</f>
        <v>136801.09780000002</v>
      </c>
    </row>
    <row r="23" spans="1:24">
      <c r="A23" s="47" t="s">
        <v>18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24">
      <c r="A24" s="67" t="s">
        <v>19</v>
      </c>
      <c r="B24" s="48">
        <f t="shared" si="10"/>
        <v>0.17</v>
      </c>
      <c r="C24" s="48">
        <f t="shared" si="10"/>
        <v>0</v>
      </c>
      <c r="F24" s="43">
        <v>61604600.020000003</v>
      </c>
      <c r="G24" s="53">
        <v>7261.6</v>
      </c>
      <c r="H24" s="53">
        <v>99970.28</v>
      </c>
      <c r="I24" s="53">
        <v>0</v>
      </c>
      <c r="J24" s="53">
        <v>2504.08</v>
      </c>
      <c r="K24" s="53">
        <v>0</v>
      </c>
      <c r="L24" s="53">
        <f>G24+H24+I24-J24+K24</f>
        <v>104727.8</v>
      </c>
      <c r="M24" s="53">
        <v>5883.33</v>
      </c>
      <c r="N24" s="53">
        <f>L24-M24</f>
        <v>98844.47</v>
      </c>
      <c r="O24" s="53">
        <v>5929.97</v>
      </c>
      <c r="P24" s="53">
        <v>0</v>
      </c>
      <c r="Q24" s="53">
        <f>N24-O24-P24</f>
        <v>92914.5</v>
      </c>
    </row>
    <row r="25" spans="1:24">
      <c r="A25" s="67" t="s">
        <v>20</v>
      </c>
      <c r="B25" s="48">
        <f t="shared" si="10"/>
        <v>0.17</v>
      </c>
      <c r="C25" s="48">
        <f t="shared" si="10"/>
        <v>0</v>
      </c>
      <c r="F25" s="43">
        <v>8075619.7599999998</v>
      </c>
      <c r="G25" s="53">
        <v>13659.29</v>
      </c>
      <c r="H25" s="53">
        <v>69.27</v>
      </c>
      <c r="I25" s="53">
        <v>0</v>
      </c>
      <c r="J25" s="53">
        <v>0</v>
      </c>
      <c r="K25" s="53">
        <v>0</v>
      </c>
      <c r="L25" s="53">
        <f>G25+H25+I25-J25+K25</f>
        <v>13728.560000000001</v>
      </c>
      <c r="M25" s="53">
        <v>0</v>
      </c>
      <c r="N25" s="53">
        <f>L25-M25</f>
        <v>13728.560000000001</v>
      </c>
      <c r="O25" s="53">
        <v>0</v>
      </c>
      <c r="P25" s="53">
        <v>0</v>
      </c>
      <c r="Q25" s="53">
        <f>N25-O25-P25</f>
        <v>13728.560000000001</v>
      </c>
    </row>
    <row r="26" spans="1:24"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1:24" s="50" customFormat="1" ht="13.5" thickBot="1">
      <c r="A27" s="60" t="str">
        <f>"TOTAL " &amp; A18</f>
        <v>TOTAL STATE OF NEVADA</v>
      </c>
      <c r="B27" s="68">
        <f>$B$20</f>
        <v>0.17</v>
      </c>
      <c r="C27" s="68">
        <f>C20</f>
        <v>0</v>
      </c>
      <c r="D27" s="69">
        <f>SUM(D20:D22,D24:D25)</f>
        <v>20783</v>
      </c>
      <c r="E27" s="204"/>
      <c r="F27" s="69">
        <f>SUM(F20:F22,F24:F25)</f>
        <v>2720406426.662353</v>
      </c>
      <c r="G27" s="70">
        <f t="shared" ref="G27:N27" si="11">SUM(G20:G22,G24:G25)</f>
        <v>178297.25610000003</v>
      </c>
      <c r="H27" s="70">
        <f t="shared" si="11"/>
        <v>4467027.1877999995</v>
      </c>
      <c r="I27" s="70">
        <f t="shared" si="11"/>
        <v>0</v>
      </c>
      <c r="J27" s="70">
        <f t="shared" si="11"/>
        <v>16409.16</v>
      </c>
      <c r="K27" s="70">
        <f t="shared" si="11"/>
        <v>23.24</v>
      </c>
      <c r="L27" s="70">
        <f t="shared" si="11"/>
        <v>4628938.5238999994</v>
      </c>
      <c r="M27" s="70">
        <f t="shared" si="11"/>
        <v>628841.31999999995</v>
      </c>
      <c r="N27" s="70">
        <f t="shared" si="11"/>
        <v>4000097.2039000005</v>
      </c>
      <c r="O27" s="70">
        <f>SUM(O20:O22,O24:O25)</f>
        <v>258259.36000000002</v>
      </c>
      <c r="P27" s="70">
        <f>SUM(P20:P22,P24:P25)</f>
        <v>0</v>
      </c>
      <c r="Q27" s="70">
        <f>SUM(Q20:Q22,Q24:Q25)</f>
        <v>3741837.8439000002</v>
      </c>
      <c r="X27" s="49"/>
    </row>
    <row r="28" spans="1:24">
      <c r="A28" s="150" t="s">
        <v>355</v>
      </c>
      <c r="F28" s="64">
        <v>2721699308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X28" s="50"/>
    </row>
    <row r="29" spans="1:24">
      <c r="A29" s="151" t="s">
        <v>30</v>
      </c>
      <c r="B29" s="51"/>
      <c r="C29" s="51"/>
      <c r="D29" s="52"/>
      <c r="E29" s="203"/>
      <c r="F29" s="152">
        <f>(F27)-F28</f>
        <v>-1292881.3376469612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T29" s="266" t="s">
        <v>378</v>
      </c>
      <c r="U29" s="266" t="s">
        <v>384</v>
      </c>
      <c r="V29" s="266" t="s">
        <v>227</v>
      </c>
    </row>
    <row r="30" spans="1:24">
      <c r="A30" s="54" t="s">
        <v>12</v>
      </c>
      <c r="T30" s="266" t="s">
        <v>379</v>
      </c>
      <c r="U30" s="266" t="s">
        <v>385</v>
      </c>
      <c r="V30" s="266" t="s">
        <v>382</v>
      </c>
    </row>
    <row r="31" spans="1:24">
      <c r="A31" s="54"/>
      <c r="F31" s="463">
        <f>(G40+H40)/B40*100</f>
        <v>2524117411.4155254</v>
      </c>
      <c r="G31" s="13"/>
      <c r="H31" s="463">
        <f>F31-J31</f>
        <v>2515937878.0821919</v>
      </c>
      <c r="I31" s="13"/>
      <c r="J31" s="463">
        <f>J40/B40*100</f>
        <v>8179533.3333333358</v>
      </c>
      <c r="T31" s="266"/>
      <c r="U31" s="266" t="s">
        <v>381</v>
      </c>
      <c r="V31" s="266" t="s">
        <v>383</v>
      </c>
    </row>
    <row r="32" spans="1:24">
      <c r="A32" s="49" t="s">
        <v>15</v>
      </c>
    </row>
    <row r="33" spans="1:24">
      <c r="A33" s="67" t="s">
        <v>22</v>
      </c>
      <c r="B33" s="48">
        <v>1.9621999999999999</v>
      </c>
      <c r="C33" s="48">
        <v>0</v>
      </c>
      <c r="D33" s="43">
        <v>20784</v>
      </c>
      <c r="F33" s="43">
        <v>2504800934</v>
      </c>
      <c r="G33" s="53">
        <v>532155.63</v>
      </c>
      <c r="H33" s="53">
        <v>49015764.299999997</v>
      </c>
      <c r="I33" s="53">
        <f t="shared" ref="I33:I38" si="12">F33*C33/100</f>
        <v>0</v>
      </c>
      <c r="J33" s="53">
        <v>160497.47</v>
      </c>
      <c r="K33" s="53">
        <v>268.22000000000003</v>
      </c>
      <c r="L33" s="53">
        <f t="shared" ref="L33:L38" si="13">G33+H33+I33-J33+K33</f>
        <v>49387690.68</v>
      </c>
      <c r="M33" s="53">
        <v>9455490.0800000001</v>
      </c>
      <c r="N33" s="53">
        <f>L33-M33</f>
        <v>39932200.600000001</v>
      </c>
      <c r="O33" s="53">
        <v>2988486.77</v>
      </c>
      <c r="P33" s="53">
        <v>0</v>
      </c>
      <c r="Q33" s="53">
        <f t="shared" ref="Q33:Q38" si="14">N33-O33-P33</f>
        <v>36943713.829999998</v>
      </c>
      <c r="S33" s="340"/>
      <c r="T33" s="267">
        <f t="shared" ref="T33:T38" si="15">B33/$B$40</f>
        <v>0.89598173515981738</v>
      </c>
      <c r="U33" s="153">
        <f t="shared" ref="U33:U38" si="16">$T$45*T33</f>
        <v>4124679.2428319911</v>
      </c>
      <c r="V33" s="153">
        <f t="shared" ref="V33:V38" si="17">Q33+U33</f>
        <v>41068393.072831988</v>
      </c>
    </row>
    <row r="34" spans="1:24">
      <c r="A34" s="67" t="s">
        <v>23</v>
      </c>
      <c r="B34" s="48">
        <v>1.2800000000000001E-2</v>
      </c>
      <c r="C34" s="48">
        <v>0</v>
      </c>
      <c r="D34" s="43">
        <v>20784</v>
      </c>
      <c r="F34" s="43">
        <v>2504800934</v>
      </c>
      <c r="G34" s="53">
        <v>3471.1</v>
      </c>
      <c r="H34" s="53">
        <v>318509.34999999998</v>
      </c>
      <c r="I34" s="53">
        <f t="shared" si="12"/>
        <v>0</v>
      </c>
      <c r="J34" s="53">
        <v>1047.3900000000001</v>
      </c>
      <c r="K34" s="53">
        <v>1.74</v>
      </c>
      <c r="L34" s="53">
        <f t="shared" si="13"/>
        <v>320934.79999999993</v>
      </c>
      <c r="M34" s="53">
        <v>46904.95</v>
      </c>
      <c r="N34" s="53">
        <f t="shared" ref="N34:N38" si="18">L34-M34</f>
        <v>274029.84999999992</v>
      </c>
      <c r="O34" s="53">
        <v>19962.099999999999</v>
      </c>
      <c r="P34" s="53">
        <v>0</v>
      </c>
      <c r="Q34" s="53">
        <f t="shared" si="14"/>
        <v>254067.74999999991</v>
      </c>
      <c r="S34" s="340"/>
      <c r="T34" s="267">
        <f t="shared" si="15"/>
        <v>5.8447488584474887E-3</v>
      </c>
      <c r="U34" s="153">
        <f t="shared" si="16"/>
        <v>26906.479618922374</v>
      </c>
      <c r="V34" s="153">
        <f t="shared" si="17"/>
        <v>280974.22961892228</v>
      </c>
      <c r="X34" s="320"/>
    </row>
    <row r="35" spans="1:24">
      <c r="A35" s="67" t="s">
        <v>24</v>
      </c>
      <c r="B35" s="48">
        <v>0.05</v>
      </c>
      <c r="C35" s="48">
        <v>0</v>
      </c>
      <c r="D35" s="43">
        <v>20784</v>
      </c>
      <c r="F35" s="43">
        <v>2504800934</v>
      </c>
      <c r="G35" s="53">
        <v>13560.82</v>
      </c>
      <c r="H35" s="53">
        <v>1244176.3799999999</v>
      </c>
      <c r="I35" s="53">
        <f t="shared" si="12"/>
        <v>0</v>
      </c>
      <c r="J35" s="53">
        <v>4089.89</v>
      </c>
      <c r="K35" s="53">
        <v>6.85</v>
      </c>
      <c r="L35" s="53">
        <f t="shared" si="13"/>
        <v>1253654.1600000001</v>
      </c>
      <c r="M35" s="53">
        <v>183223.55</v>
      </c>
      <c r="N35" s="53">
        <f t="shared" si="18"/>
        <v>1070430.6100000001</v>
      </c>
      <c r="O35" s="53">
        <v>77976</v>
      </c>
      <c r="P35" s="53">
        <v>0</v>
      </c>
      <c r="Q35" s="53">
        <f t="shared" si="14"/>
        <v>992454.6100000001</v>
      </c>
      <c r="S35" s="340"/>
      <c r="T35" s="267">
        <f t="shared" si="15"/>
        <v>2.2831050228310504E-2</v>
      </c>
      <c r="U35" s="153">
        <f t="shared" si="16"/>
        <v>105103.43601141553</v>
      </c>
      <c r="V35" s="153">
        <f t="shared" si="17"/>
        <v>1097558.0460114155</v>
      </c>
      <c r="X35" s="320"/>
    </row>
    <row r="36" spans="1:24">
      <c r="A36" s="26" t="s">
        <v>504</v>
      </c>
      <c r="B36" s="48">
        <v>1.4999999999999999E-2</v>
      </c>
      <c r="C36" s="48">
        <v>0</v>
      </c>
      <c r="D36" s="43">
        <v>20784</v>
      </c>
      <c r="F36" s="43">
        <v>2504800934</v>
      </c>
      <c r="G36" s="53">
        <v>4068.04</v>
      </c>
      <c r="H36" s="53">
        <v>373253.42</v>
      </c>
      <c r="I36" s="53">
        <f t="shared" si="12"/>
        <v>0</v>
      </c>
      <c r="J36" s="53">
        <v>1227.57</v>
      </c>
      <c r="K36" s="53">
        <v>2.0499999999999998</v>
      </c>
      <c r="L36" s="53">
        <f t="shared" si="13"/>
        <v>376095.93999999994</v>
      </c>
      <c r="M36" s="53">
        <v>54967.37</v>
      </c>
      <c r="N36" s="53">
        <f t="shared" si="18"/>
        <v>321128.56999999995</v>
      </c>
      <c r="O36" s="53">
        <v>23392.65</v>
      </c>
      <c r="P36" s="53">
        <v>0</v>
      </c>
      <c r="Q36" s="53">
        <f t="shared" si="14"/>
        <v>297735.91999999993</v>
      </c>
      <c r="S36" s="340"/>
      <c r="T36" s="267">
        <f t="shared" si="15"/>
        <v>6.8493150684931503E-3</v>
      </c>
      <c r="U36" s="153">
        <f t="shared" si="16"/>
        <v>31531.030803424655</v>
      </c>
      <c r="V36" s="153">
        <f t="shared" si="17"/>
        <v>329266.95080342458</v>
      </c>
      <c r="X36" s="320"/>
    </row>
    <row r="37" spans="1:24">
      <c r="A37" s="67" t="s">
        <v>25</v>
      </c>
      <c r="B37" s="48">
        <v>0.1</v>
      </c>
      <c r="C37" s="48">
        <v>0</v>
      </c>
      <c r="D37" s="43">
        <v>20784</v>
      </c>
      <c r="F37" s="43">
        <v>2504800934</v>
      </c>
      <c r="G37" s="53">
        <v>27121.22</v>
      </c>
      <c r="H37" s="53">
        <v>2488353.85</v>
      </c>
      <c r="I37" s="53">
        <f t="shared" si="12"/>
        <v>0</v>
      </c>
      <c r="J37" s="53">
        <v>8179.57</v>
      </c>
      <c r="K37" s="53">
        <v>13.66</v>
      </c>
      <c r="L37" s="53">
        <f t="shared" si="13"/>
        <v>2507309.1600000006</v>
      </c>
      <c r="M37" s="53">
        <v>366445.87</v>
      </c>
      <c r="N37" s="53">
        <f t="shared" si="18"/>
        <v>2140863.2900000005</v>
      </c>
      <c r="O37" s="53">
        <v>155951.82</v>
      </c>
      <c r="P37" s="53">
        <v>0</v>
      </c>
      <c r="Q37" s="53">
        <f t="shared" si="14"/>
        <v>1984911.4700000004</v>
      </c>
      <c r="S37" s="340"/>
      <c r="T37" s="267">
        <f t="shared" si="15"/>
        <v>4.5662100456621009E-2</v>
      </c>
      <c r="U37" s="153">
        <f t="shared" si="16"/>
        <v>210206.87202283106</v>
      </c>
      <c r="V37" s="153">
        <f t="shared" si="17"/>
        <v>2195118.3420228316</v>
      </c>
      <c r="X37" s="320"/>
    </row>
    <row r="38" spans="1:24">
      <c r="A38" s="26" t="s">
        <v>505</v>
      </c>
      <c r="B38" s="48">
        <v>0.05</v>
      </c>
      <c r="C38" s="48">
        <v>0</v>
      </c>
      <c r="D38" s="43">
        <v>20784</v>
      </c>
      <c r="F38" s="43">
        <v>2504800934</v>
      </c>
      <c r="G38" s="53">
        <v>13560.82</v>
      </c>
      <c r="H38" s="53">
        <v>1244176.3799999999</v>
      </c>
      <c r="I38" s="53">
        <f t="shared" si="12"/>
        <v>0</v>
      </c>
      <c r="J38" s="53">
        <v>4089.89</v>
      </c>
      <c r="K38" s="53">
        <v>6.85</v>
      </c>
      <c r="L38" s="53">
        <f t="shared" si="13"/>
        <v>1253654.1600000001</v>
      </c>
      <c r="M38" s="53">
        <v>183223.55</v>
      </c>
      <c r="N38" s="53">
        <f t="shared" si="18"/>
        <v>1070430.6100000001</v>
      </c>
      <c r="O38" s="53">
        <v>77976</v>
      </c>
      <c r="P38" s="53">
        <v>0</v>
      </c>
      <c r="Q38" s="53">
        <f t="shared" si="14"/>
        <v>992454.6100000001</v>
      </c>
      <c r="S38" s="340"/>
      <c r="T38" s="267">
        <f t="shared" si="15"/>
        <v>2.2831050228310504E-2</v>
      </c>
      <c r="U38" s="153">
        <f t="shared" si="16"/>
        <v>105103.43601141553</v>
      </c>
      <c r="V38" s="153">
        <f t="shared" si="17"/>
        <v>1097558.0460114155</v>
      </c>
      <c r="X38" s="320"/>
    </row>
    <row r="39" spans="1:24" s="50" customFormat="1">
      <c r="A39" s="71"/>
      <c r="B39" s="51"/>
      <c r="C39" s="51"/>
      <c r="D39" s="52"/>
      <c r="E39" s="65">
        <v>92574333</v>
      </c>
      <c r="F39" s="52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S39" s="341"/>
      <c r="T39" s="268"/>
      <c r="U39" s="268"/>
      <c r="V39" s="268"/>
      <c r="X39" s="320"/>
    </row>
    <row r="40" spans="1:24">
      <c r="A40" s="71" t="s">
        <v>26</v>
      </c>
      <c r="B40" s="48">
        <f>SUM(B33:B39)</f>
        <v>2.19</v>
      </c>
      <c r="C40" s="48">
        <f>-SUM(C33:C39)</f>
        <v>0</v>
      </c>
      <c r="D40" s="72">
        <f>D33</f>
        <v>20784</v>
      </c>
      <c r="E40" s="173">
        <f>+G40/B40*100</f>
        <v>27120439.726027392</v>
      </c>
      <c r="F40" s="72">
        <f>F33</f>
        <v>2504800934</v>
      </c>
      <c r="G40" s="73">
        <f t="shared" ref="G40:P40" si="19">SUM(G33:G38)</f>
        <v>593937.62999999989</v>
      </c>
      <c r="H40" s="73">
        <f t="shared" si="19"/>
        <v>54684233.680000007</v>
      </c>
      <c r="I40" s="73">
        <f t="shared" si="19"/>
        <v>0</v>
      </c>
      <c r="J40" s="73">
        <f t="shared" si="19"/>
        <v>179131.78000000006</v>
      </c>
      <c r="K40" s="73">
        <f t="shared" si="19"/>
        <v>299.37000000000012</v>
      </c>
      <c r="L40" s="73">
        <f t="shared" si="19"/>
        <v>55099338.900000006</v>
      </c>
      <c r="M40" s="73">
        <f t="shared" si="19"/>
        <v>10290255.369999999</v>
      </c>
      <c r="N40" s="73">
        <f t="shared" si="19"/>
        <v>44809083.530000001</v>
      </c>
      <c r="O40" s="73">
        <f t="shared" si="19"/>
        <v>3343745.34</v>
      </c>
      <c r="P40" s="73">
        <f t="shared" si="19"/>
        <v>0</v>
      </c>
      <c r="Q40" s="73">
        <f>N40-O40-P40</f>
        <v>41465338.189999998</v>
      </c>
      <c r="S40" s="342"/>
      <c r="T40" s="267">
        <f>SUM(T33:T38)</f>
        <v>1</v>
      </c>
      <c r="U40" s="153">
        <f>SUM(U33:U38)</f>
        <v>4603530.4972999999</v>
      </c>
      <c r="V40" s="153">
        <f>SUM(V33:V38)</f>
        <v>46068868.687299997</v>
      </c>
      <c r="X40" s="320"/>
    </row>
    <row r="41" spans="1:24" ht="21" customHeight="1">
      <c r="A41" s="47" t="s">
        <v>16</v>
      </c>
      <c r="B41" s="48">
        <v>2.19</v>
      </c>
      <c r="C41" s="48">
        <f>C$40</f>
        <v>0</v>
      </c>
      <c r="F41" s="65">
        <f>IF(E39&gt;E40,E39-E40,0)</f>
        <v>65453893.273972608</v>
      </c>
      <c r="G41" s="53">
        <f>F41*(B41-C41)/100</f>
        <v>1433440.2627000001</v>
      </c>
      <c r="H41" s="53"/>
      <c r="I41" s="53">
        <f>F41*C41/100</f>
        <v>0</v>
      </c>
      <c r="J41" s="53"/>
      <c r="K41" s="53">
        <v>0</v>
      </c>
      <c r="L41" s="53">
        <f>G41+H41+I41-J41+K41</f>
        <v>1433440.2627000001</v>
      </c>
      <c r="M41" s="53"/>
      <c r="N41" s="53">
        <f>L41-M41</f>
        <v>1433440.2627000001</v>
      </c>
      <c r="O41" s="53"/>
      <c r="P41" s="53">
        <v>0</v>
      </c>
      <c r="Q41" s="53">
        <f>N41-O41-P41</f>
        <v>1433440.2627000001</v>
      </c>
      <c r="S41" s="340"/>
      <c r="T41" s="266"/>
      <c r="U41" s="266"/>
      <c r="V41" s="266"/>
      <c r="X41" s="320"/>
    </row>
    <row r="42" spans="1:24" ht="12.75" customHeight="1">
      <c r="A42" s="47" t="s">
        <v>17</v>
      </c>
      <c r="B42" s="48">
        <v>2.19</v>
      </c>
      <c r="C42" s="48">
        <f>C$40</f>
        <v>0</v>
      </c>
      <c r="F42" s="66">
        <v>80471234</v>
      </c>
      <c r="G42" s="53"/>
      <c r="H42" s="53">
        <f>F42*(B42-C42)/100</f>
        <v>1762320.0246000001</v>
      </c>
      <c r="I42" s="53">
        <f>F42*C42/100</f>
        <v>0</v>
      </c>
      <c r="J42" s="53"/>
      <c r="K42" s="53">
        <v>0</v>
      </c>
      <c r="L42" s="53">
        <f>G42+H42+I42-J42+K42</f>
        <v>1762320.0246000001</v>
      </c>
      <c r="M42" s="53"/>
      <c r="N42" s="53">
        <f>L42-M42</f>
        <v>1762320.0246000001</v>
      </c>
      <c r="O42" s="53"/>
      <c r="P42" s="53"/>
      <c r="Q42" s="53">
        <f>N42-O42-P42</f>
        <v>1762320.0246000001</v>
      </c>
      <c r="S42" s="340"/>
      <c r="T42" s="266" t="s">
        <v>380</v>
      </c>
      <c r="U42" s="266"/>
      <c r="V42" s="266"/>
      <c r="X42" s="320"/>
    </row>
    <row r="43" spans="1:24">
      <c r="A43" s="47" t="s">
        <v>18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340"/>
      <c r="T43" s="266" t="s">
        <v>381</v>
      </c>
      <c r="U43" s="266"/>
      <c r="V43" s="266"/>
      <c r="X43" s="320"/>
    </row>
    <row r="44" spans="1:24">
      <c r="A44" s="67" t="s">
        <v>19</v>
      </c>
      <c r="B44" s="48">
        <v>2.19</v>
      </c>
      <c r="C44" s="48">
        <f>C$40</f>
        <v>0</v>
      </c>
      <c r="F44" s="43">
        <v>61604600.020000003</v>
      </c>
      <c r="G44" s="53">
        <v>93546.74</v>
      </c>
      <c r="H44" s="53">
        <v>1287852.25</v>
      </c>
      <c r="I44" s="53">
        <f>F44*C44/100</f>
        <v>0</v>
      </c>
      <c r="J44" s="53">
        <v>32258.240000000002</v>
      </c>
      <c r="K44" s="53">
        <v>0</v>
      </c>
      <c r="L44" s="53">
        <f>G44+H44+I44-J44+K44</f>
        <v>1349140.75</v>
      </c>
      <c r="M44" s="53">
        <v>75791.08</v>
      </c>
      <c r="N44" s="53">
        <f>L44-M44</f>
        <v>1273349.67</v>
      </c>
      <c r="O44" s="53">
        <v>37610.11</v>
      </c>
      <c r="P44" s="53">
        <v>0</v>
      </c>
      <c r="Q44" s="53">
        <f>N44-O44-P44</f>
        <v>1235739.5599999998</v>
      </c>
      <c r="R44" s="53"/>
      <c r="S44" s="340"/>
      <c r="T44" s="266"/>
      <c r="U44" s="266"/>
      <c r="V44" s="266"/>
      <c r="X44" s="320"/>
    </row>
    <row r="45" spans="1:24">
      <c r="A45" s="67" t="s">
        <v>20</v>
      </c>
      <c r="B45" s="48">
        <v>2.19</v>
      </c>
      <c r="C45" s="48">
        <f>C$40</f>
        <v>0</v>
      </c>
      <c r="F45" s="43">
        <v>8075619.7599999998</v>
      </c>
      <c r="G45" s="53">
        <v>175963.76</v>
      </c>
      <c r="H45" s="53">
        <v>892.32</v>
      </c>
      <c r="I45" s="53">
        <v>0</v>
      </c>
      <c r="J45" s="53">
        <v>0</v>
      </c>
      <c r="K45" s="53">
        <v>0</v>
      </c>
      <c r="L45" s="53">
        <f>G45+H45+I45-J45+K45</f>
        <v>176856.08000000002</v>
      </c>
      <c r="M45" s="53">
        <v>0</v>
      </c>
      <c r="N45" s="53">
        <f>L45-M45</f>
        <v>176856.08000000002</v>
      </c>
      <c r="O45" s="53">
        <v>4825.43</v>
      </c>
      <c r="P45" s="53">
        <v>0</v>
      </c>
      <c r="Q45" s="53">
        <f>N45-O45-P45</f>
        <v>172030.65000000002</v>
      </c>
      <c r="S45" s="340"/>
      <c r="T45" s="153">
        <f>SUM(Q41:Q42,Q44:Q45)</f>
        <v>4603530.4972999999</v>
      </c>
      <c r="U45" s="266"/>
      <c r="V45" s="266"/>
      <c r="X45" s="320"/>
    </row>
    <row r="46" spans="1:24"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S46" s="340"/>
      <c r="T46" s="266"/>
      <c r="U46" s="266"/>
      <c r="V46" s="266"/>
      <c r="X46" s="320"/>
    </row>
    <row r="47" spans="1:24" s="50" customFormat="1" ht="13.5" thickBot="1">
      <c r="A47" s="60" t="s">
        <v>27</v>
      </c>
      <c r="B47" s="68">
        <f>B40</f>
        <v>2.19</v>
      </c>
      <c r="C47" s="68">
        <f>C40</f>
        <v>0</v>
      </c>
      <c r="D47" s="69">
        <f>SUM(D40:D42,D44:D45)</f>
        <v>20784</v>
      </c>
      <c r="E47" s="204"/>
      <c r="F47" s="69">
        <f t="shared" ref="F47:N47" si="20">SUM(F40,F41:F42,F44:F45)</f>
        <v>2720406281.0539727</v>
      </c>
      <c r="G47" s="70">
        <f t="shared" si="20"/>
        <v>2296888.3926999997</v>
      </c>
      <c r="H47" s="70">
        <f t="shared" si="20"/>
        <v>57735298.274600007</v>
      </c>
      <c r="I47" s="70">
        <f t="shared" si="20"/>
        <v>0</v>
      </c>
      <c r="J47" s="70">
        <f t="shared" si="20"/>
        <v>211390.02000000005</v>
      </c>
      <c r="K47" s="70">
        <f t="shared" si="20"/>
        <v>299.37000000000012</v>
      </c>
      <c r="L47" s="70">
        <f t="shared" si="20"/>
        <v>59821096.017300002</v>
      </c>
      <c r="M47" s="70">
        <f t="shared" si="20"/>
        <v>10366046.449999999</v>
      </c>
      <c r="N47" s="70">
        <f t="shared" si="20"/>
        <v>49455049.567299999</v>
      </c>
      <c r="O47" s="70">
        <f>SUM(O40,O41:O42,O44:O45)</f>
        <v>3386180.88</v>
      </c>
      <c r="P47" s="70">
        <f>SUM(P40,P41:P42,P44:P45)</f>
        <v>0</v>
      </c>
      <c r="Q47" s="70">
        <f>SUM(Q40,Q41:Q42,Q44:Q45)</f>
        <v>46068868.687299997</v>
      </c>
      <c r="S47" s="343"/>
      <c r="X47" s="320"/>
    </row>
    <row r="48" spans="1:24" s="168" customFormat="1">
      <c r="A48" s="165" t="s">
        <v>28</v>
      </c>
      <c r="B48" s="166"/>
      <c r="C48" s="166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S48" s="344"/>
      <c r="X48" s="320"/>
    </row>
    <row r="49" spans="1:28" s="168" customFormat="1">
      <c r="A49" s="200" t="s">
        <v>29</v>
      </c>
      <c r="B49" s="166"/>
      <c r="C49" s="166"/>
      <c r="D49" s="167"/>
      <c r="E49" s="167"/>
      <c r="F49" s="167">
        <v>23955081</v>
      </c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</row>
    <row r="50" spans="1:28" s="168" customFormat="1">
      <c r="A50" s="200" t="s">
        <v>15</v>
      </c>
      <c r="B50" s="166"/>
      <c r="C50" s="166"/>
      <c r="D50" s="167"/>
      <c r="E50" s="167" t="s">
        <v>372</v>
      </c>
      <c r="F50" s="169">
        <v>2478973522</v>
      </c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</row>
    <row r="51" spans="1:28" s="168" customFormat="1" ht="14.25" customHeight="1">
      <c r="A51" s="200"/>
      <c r="B51" s="166"/>
      <c r="C51" s="166"/>
      <c r="D51" s="167"/>
      <c r="E51" s="167">
        <v>112743407</v>
      </c>
      <c r="F51" s="167">
        <f>F49+F50</f>
        <v>2502928603</v>
      </c>
      <c r="G51" s="167"/>
      <c r="H51" s="463">
        <f>H31-F51</f>
        <v>13009275.082191944</v>
      </c>
      <c r="I51" s="167"/>
      <c r="J51" s="167"/>
      <c r="K51" s="167"/>
      <c r="L51" s="167"/>
      <c r="M51" s="167"/>
      <c r="N51" s="167"/>
      <c r="O51" s="167"/>
      <c r="P51" s="167"/>
      <c r="Q51" s="167"/>
    </row>
    <row r="52" spans="1:28" s="168" customFormat="1">
      <c r="A52" s="200" t="s">
        <v>30</v>
      </c>
      <c r="B52" s="166"/>
      <c r="C52" s="166"/>
      <c r="D52" s="167"/>
      <c r="E52" s="167">
        <f>F52-E51</f>
        <v>-110871076</v>
      </c>
      <c r="F52" s="74">
        <f>F40-F51</f>
        <v>1872331</v>
      </c>
      <c r="G52" s="170">
        <f>F52/F51</f>
        <v>7.4805609626891947E-4</v>
      </c>
      <c r="H52" s="167"/>
      <c r="I52" s="167"/>
      <c r="J52" s="167"/>
      <c r="K52" s="167"/>
      <c r="L52" s="167"/>
      <c r="M52" s="167"/>
      <c r="N52" s="167"/>
      <c r="O52" s="167"/>
      <c r="P52" s="167"/>
      <c r="Q52" s="167"/>
    </row>
    <row r="53" spans="1:28" s="174" customFormat="1" ht="9" customHeight="1">
      <c r="A53" s="171"/>
      <c r="B53" s="172"/>
      <c r="C53" s="172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X53" s="168"/>
    </row>
    <row r="54" spans="1:28" s="174" customFormat="1">
      <c r="A54" s="75" t="s">
        <v>355</v>
      </c>
      <c r="B54" s="172"/>
      <c r="C54" s="172"/>
      <c r="D54" s="173"/>
      <c r="E54" s="173"/>
      <c r="F54" s="175">
        <v>2721699308</v>
      </c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1:28" s="174" customFormat="1">
      <c r="A55" s="76" t="s">
        <v>30</v>
      </c>
      <c r="B55" s="172"/>
      <c r="C55" s="172"/>
      <c r="D55" s="77"/>
      <c r="E55" s="77"/>
      <c r="F55" s="77">
        <f>(F47-F54)</f>
        <v>-1293026.9460272789</v>
      </c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1:28">
      <c r="X56" s="174"/>
    </row>
    <row r="57" spans="1:28">
      <c r="A57" s="54" t="s">
        <v>13</v>
      </c>
      <c r="B57" s="51"/>
      <c r="C57" s="51"/>
      <c r="D57" s="52"/>
      <c r="E57" s="203"/>
      <c r="F57" s="52"/>
      <c r="G57" s="64"/>
      <c r="H57" s="53"/>
      <c r="I57" s="53"/>
      <c r="J57" s="53"/>
      <c r="K57" s="53"/>
      <c r="L57" s="53"/>
      <c r="M57" s="53"/>
      <c r="N57" s="53"/>
      <c r="O57" s="53"/>
      <c r="P57" s="53"/>
      <c r="Q57" s="53"/>
      <c r="Z57" s="53"/>
    </row>
    <row r="58" spans="1:28">
      <c r="E58" s="65">
        <v>92574333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Z58" s="53"/>
    </row>
    <row r="59" spans="1:28">
      <c r="A59" s="49" t="s">
        <v>15</v>
      </c>
      <c r="B59" s="48">
        <v>0.75</v>
      </c>
      <c r="C59" s="48">
        <v>0</v>
      </c>
      <c r="D59" s="43">
        <v>20783</v>
      </c>
      <c r="E59" s="173">
        <f>+G59/B59*100</f>
        <v>27120608</v>
      </c>
      <c r="F59" s="43">
        <v>2504800934</v>
      </c>
      <c r="G59" s="53">
        <v>203404.56</v>
      </c>
      <c r="H59" s="53">
        <v>18662606.399999999</v>
      </c>
      <c r="I59" s="53">
        <f>F59*C59/100</f>
        <v>0</v>
      </c>
      <c r="J59" s="53">
        <v>61346.98</v>
      </c>
      <c r="K59" s="53">
        <v>102.53</v>
      </c>
      <c r="L59" s="53">
        <f t="shared" ref="L59:L64" si="21">G59+H59+I59-J59+K59</f>
        <v>18804766.509999998</v>
      </c>
      <c r="M59" s="53">
        <v>2711562.92</v>
      </c>
      <c r="N59" s="53">
        <f>L59-M59</f>
        <v>16093203.589999998</v>
      </c>
      <c r="O59" s="53">
        <v>1199043.3600000001</v>
      </c>
      <c r="P59" s="53">
        <v>0</v>
      </c>
      <c r="Q59" s="53">
        <f>N59-O59-P59</f>
        <v>14894160.229999999</v>
      </c>
      <c r="T59" s="340"/>
      <c r="Z59" s="53">
        <f>+Q59+Q71</f>
        <v>24120916.27</v>
      </c>
      <c r="AA59" s="53">
        <f>+Q59/Z59</f>
        <v>0.61747904031839662</v>
      </c>
      <c r="AB59" s="53">
        <f>+Q59/Z59</f>
        <v>0.61747904031839662</v>
      </c>
    </row>
    <row r="60" spans="1:28">
      <c r="A60" s="47" t="s">
        <v>16</v>
      </c>
      <c r="B60" s="48">
        <f>B$59</f>
        <v>0.75</v>
      </c>
      <c r="C60" s="48">
        <f>C$59</f>
        <v>0</v>
      </c>
      <c r="F60" s="65">
        <f>IF(E58&gt;E59,E58-E59,0)</f>
        <v>65453725</v>
      </c>
      <c r="G60" s="18">
        <f>F60*(B60-C60)/100</f>
        <v>490902.9375</v>
      </c>
      <c r="H60" s="53"/>
      <c r="I60" s="53">
        <f>F60*C60/100</f>
        <v>0</v>
      </c>
      <c r="J60" s="53"/>
      <c r="K60" s="53"/>
      <c r="L60" s="53">
        <f t="shared" si="21"/>
        <v>490902.9375</v>
      </c>
      <c r="M60" s="53"/>
      <c r="N60" s="53">
        <f>L60-M60</f>
        <v>490902.9375</v>
      </c>
      <c r="O60" s="53"/>
      <c r="P60" s="53"/>
      <c r="Q60" s="53">
        <f>N60-O60-P60</f>
        <v>490902.9375</v>
      </c>
      <c r="T60" s="340"/>
      <c r="X60" s="320"/>
      <c r="Z60" s="53">
        <f>+Q60+Q72</f>
        <v>772354.35939999996</v>
      </c>
      <c r="AB60" s="53">
        <f>+Q60/Z60</f>
        <v>0.63559288754627574</v>
      </c>
    </row>
    <row r="61" spans="1:28">
      <c r="A61" s="47" t="s">
        <v>17</v>
      </c>
      <c r="B61" s="48">
        <f t="shared" ref="B61:C64" si="22">B$59</f>
        <v>0.75</v>
      </c>
      <c r="C61" s="48">
        <f t="shared" si="22"/>
        <v>0</v>
      </c>
      <c r="F61" s="66">
        <v>80471234</v>
      </c>
      <c r="G61" s="53"/>
      <c r="H61" s="18">
        <f>F61*(B61-C61)/100</f>
        <v>603534.255</v>
      </c>
      <c r="I61" s="53">
        <f>F61*C61/100</f>
        <v>0</v>
      </c>
      <c r="J61" s="53"/>
      <c r="K61" s="53"/>
      <c r="L61" s="53">
        <f t="shared" si="21"/>
        <v>603534.255</v>
      </c>
      <c r="M61" s="53"/>
      <c r="N61" s="53">
        <f>L61-M61</f>
        <v>603534.255</v>
      </c>
      <c r="O61" s="53"/>
      <c r="P61" s="53">
        <v>0</v>
      </c>
      <c r="Q61" s="53">
        <f>N61-O61-P61</f>
        <v>603534.255</v>
      </c>
      <c r="T61" s="340"/>
      <c r="X61" s="320"/>
      <c r="Z61" s="53">
        <f>+Q61+Q73</f>
        <v>949560.5612</v>
      </c>
      <c r="AB61" s="53">
        <f>+Q61/Z61</f>
        <v>0.63559322033898302</v>
      </c>
    </row>
    <row r="62" spans="1:28">
      <c r="A62" s="47" t="s">
        <v>18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T62" s="340"/>
      <c r="X62" s="320"/>
    </row>
    <row r="63" spans="1:28">
      <c r="A63" s="67" t="s">
        <v>19</v>
      </c>
      <c r="B63" s="48">
        <f t="shared" si="22"/>
        <v>0.75</v>
      </c>
      <c r="C63" s="48">
        <f t="shared" si="22"/>
        <v>0</v>
      </c>
      <c r="F63" s="43">
        <v>61604600.020000003</v>
      </c>
      <c r="G63" s="53">
        <f>50404.2*S66</f>
        <v>32036.567796610172</v>
      </c>
      <c r="H63" s="53">
        <f>693911.27*S66</f>
        <v>441045.29872881365</v>
      </c>
      <c r="I63" s="53">
        <v>0</v>
      </c>
      <c r="J63" s="53">
        <f>17381.17*S66</f>
        <v>11047.353813559323</v>
      </c>
      <c r="K63" s="53">
        <v>0</v>
      </c>
      <c r="L63" s="53">
        <f>G63+H63+I63-J63+K63</f>
        <v>462034.51271186449</v>
      </c>
      <c r="M63" s="53">
        <f>40837.2*S66</f>
        <v>25955.847457627122</v>
      </c>
      <c r="N63" s="53">
        <f>L63-M63</f>
        <v>436078.66525423736</v>
      </c>
      <c r="O63" s="53">
        <f>12880.18*S66</f>
        <v>8186.5550847457644</v>
      </c>
      <c r="P63" s="53">
        <v>0</v>
      </c>
      <c r="Q63" s="53">
        <f>N63-O63-P63</f>
        <v>427892.11016949161</v>
      </c>
      <c r="S63" s="320">
        <f>Q64-G64</f>
        <v>305.59322033898206</v>
      </c>
      <c r="T63" s="340"/>
      <c r="X63" s="320"/>
    </row>
    <row r="64" spans="1:28">
      <c r="A64" s="67" t="s">
        <v>20</v>
      </c>
      <c r="B64" s="48">
        <f t="shared" si="22"/>
        <v>0.75</v>
      </c>
      <c r="C64" s="48">
        <f t="shared" si="22"/>
        <v>0</v>
      </c>
      <c r="F64" s="43">
        <v>8075619.7599999998</v>
      </c>
      <c r="G64" s="53">
        <f>94811.52*S66</f>
        <v>60261.559322033907</v>
      </c>
      <c r="H64" s="53">
        <f>480.8*S66</f>
        <v>305.59322033898309</v>
      </c>
      <c r="I64" s="53">
        <v>0</v>
      </c>
      <c r="J64" s="53">
        <v>0</v>
      </c>
      <c r="K64" s="53">
        <v>0</v>
      </c>
      <c r="L64" s="53">
        <f t="shared" si="21"/>
        <v>60567.152542372889</v>
      </c>
      <c r="M64" s="53">
        <v>0</v>
      </c>
      <c r="N64" s="53">
        <f>L64-M64</f>
        <v>60567.152542372889</v>
      </c>
      <c r="O64" s="18">
        <v>0</v>
      </c>
      <c r="P64" s="53">
        <v>0</v>
      </c>
      <c r="Q64" s="53">
        <f>N64-O64-P64</f>
        <v>60567.152542372889</v>
      </c>
      <c r="S64" s="320">
        <f>G64</f>
        <v>60261.559322033907</v>
      </c>
      <c r="T64" s="340"/>
      <c r="X64" s="320"/>
    </row>
    <row r="65" spans="1:28"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T65" s="340"/>
      <c r="U65" s="53">
        <f t="shared" ref="U65:V66" si="23">+L63+L75</f>
        <v>726934.3</v>
      </c>
      <c r="V65" s="53">
        <f t="shared" si="23"/>
        <v>40837.200000000004</v>
      </c>
      <c r="W65" s="53">
        <f>+N63+N75</f>
        <v>686097.10000000009</v>
      </c>
      <c r="X65" s="320"/>
      <c r="Y65" s="53">
        <f>+P63+P75</f>
        <v>0</v>
      </c>
      <c r="Z65" s="53">
        <f>+Q63+Q75</f>
        <v>673216.92</v>
      </c>
      <c r="AB65" s="53">
        <f>+Q63/Z65</f>
        <v>0.63559322033898313</v>
      </c>
    </row>
    <row r="66" spans="1:28" s="50" customFormat="1" ht="13.5" thickBot="1">
      <c r="A66" s="57" t="str">
        <f>"TOTAL " &amp; A57</f>
        <v>TOTAL SCHOOL DISTRICT</v>
      </c>
      <c r="B66" s="51">
        <f>B$59</f>
        <v>0.75</v>
      </c>
      <c r="C66" s="51">
        <f>C$59</f>
        <v>0</v>
      </c>
      <c r="D66" s="78">
        <f t="shared" ref="D66:P66" si="24">SUM(D59:D61,D63:D64)</f>
        <v>20783</v>
      </c>
      <c r="E66" s="206"/>
      <c r="F66" s="69">
        <f t="shared" ref="F66:H66" si="25">SUM(F59:F61,F63:F64)</f>
        <v>2720406112.7800002</v>
      </c>
      <c r="G66" s="70">
        <f t="shared" si="25"/>
        <v>786605.62461864413</v>
      </c>
      <c r="H66" s="70">
        <f t="shared" si="25"/>
        <v>19707491.546949148</v>
      </c>
      <c r="I66" s="79">
        <f t="shared" si="24"/>
        <v>0</v>
      </c>
      <c r="J66" s="79">
        <f t="shared" si="24"/>
        <v>72394.333813559322</v>
      </c>
      <c r="K66" s="79">
        <f t="shared" si="24"/>
        <v>102.53</v>
      </c>
      <c r="L66" s="59">
        <f t="shared" si="24"/>
        <v>20421805.367754232</v>
      </c>
      <c r="M66" s="59">
        <f t="shared" si="24"/>
        <v>2737518.7674576272</v>
      </c>
      <c r="N66" s="79">
        <f t="shared" si="24"/>
        <v>17684286.600296609</v>
      </c>
      <c r="O66" s="79">
        <f t="shared" si="24"/>
        <v>1207229.915084746</v>
      </c>
      <c r="P66" s="79">
        <f t="shared" si="24"/>
        <v>0</v>
      </c>
      <c r="Q66" s="79">
        <f>SUM(Q59:Q61,Q63:Q64)</f>
        <v>16477056.685211863</v>
      </c>
      <c r="S66" s="183">
        <f>B66/B80</f>
        <v>0.63559322033898313</v>
      </c>
      <c r="T66" s="345"/>
      <c r="U66" s="53">
        <f t="shared" si="23"/>
        <v>95292.32</v>
      </c>
      <c r="V66" s="53">
        <f t="shared" si="23"/>
        <v>0</v>
      </c>
      <c r="W66" s="53">
        <f>+N64+N76</f>
        <v>95292.32</v>
      </c>
      <c r="X66" s="320"/>
      <c r="Y66" s="53">
        <f>+P64+P76</f>
        <v>0</v>
      </c>
      <c r="Z66" s="53">
        <f>+Q64+Q76</f>
        <v>95292.32</v>
      </c>
      <c r="AB66" s="53">
        <f>+Q64/Z66</f>
        <v>0.63559322033898313</v>
      </c>
    </row>
    <row r="67" spans="1:28">
      <c r="L67" s="505" t="s">
        <v>388</v>
      </c>
      <c r="M67" s="506">
        <f>M66/L66</f>
        <v>0.1340488129311101</v>
      </c>
      <c r="T67" s="346"/>
      <c r="X67" s="320"/>
      <c r="Z67" s="53">
        <f>SUM(Z59:Z66)</f>
        <v>26611340.430600002</v>
      </c>
      <c r="AB67" s="53">
        <f>+Q67/Z67</f>
        <v>0</v>
      </c>
    </row>
    <row r="68" spans="1:28">
      <c r="G68" s="81">
        <f>G63+G75</f>
        <v>50404.200000000004</v>
      </c>
      <c r="H68" s="81">
        <f t="shared" ref="H68:Q68" si="26">H63+H75</f>
        <v>693911.27000000014</v>
      </c>
      <c r="I68" s="81">
        <f t="shared" si="26"/>
        <v>0</v>
      </c>
      <c r="J68" s="81">
        <f t="shared" si="26"/>
        <v>17381.169999999998</v>
      </c>
      <c r="K68" s="81">
        <f>K63+K75</f>
        <v>0</v>
      </c>
      <c r="L68" s="81">
        <f t="shared" si="26"/>
        <v>726934.3</v>
      </c>
      <c r="M68" s="81">
        <f t="shared" si="26"/>
        <v>40837.200000000004</v>
      </c>
      <c r="N68" s="81">
        <f t="shared" si="26"/>
        <v>686097.10000000009</v>
      </c>
      <c r="O68" s="81">
        <f t="shared" si="26"/>
        <v>12880.180000000002</v>
      </c>
      <c r="P68" s="81">
        <f t="shared" si="26"/>
        <v>0</v>
      </c>
      <c r="Q68" s="81">
        <f t="shared" si="26"/>
        <v>673216.92</v>
      </c>
      <c r="T68" s="347"/>
      <c r="X68" s="53"/>
    </row>
    <row r="69" spans="1:28">
      <c r="A69" s="54" t="s">
        <v>32</v>
      </c>
      <c r="F69" s="64"/>
      <c r="G69" s="81">
        <f>G64+G76</f>
        <v>94811.520000000019</v>
      </c>
      <c r="H69" s="81">
        <f t="shared" ref="H69:Q69" si="27">H64+H76</f>
        <v>480.80000000000007</v>
      </c>
      <c r="I69" s="81">
        <f t="shared" si="27"/>
        <v>0</v>
      </c>
      <c r="J69" s="81">
        <f t="shared" si="27"/>
        <v>0</v>
      </c>
      <c r="K69" s="81">
        <f t="shared" si="27"/>
        <v>0</v>
      </c>
      <c r="L69" s="81">
        <f t="shared" si="27"/>
        <v>95292.32</v>
      </c>
      <c r="M69" s="81">
        <f t="shared" si="27"/>
        <v>0</v>
      </c>
      <c r="N69" s="81">
        <f t="shared" si="27"/>
        <v>95292.32</v>
      </c>
      <c r="O69" s="81">
        <f t="shared" si="27"/>
        <v>0</v>
      </c>
      <c r="P69" s="81">
        <f t="shared" si="27"/>
        <v>0</v>
      </c>
      <c r="Q69" s="81">
        <f t="shared" si="27"/>
        <v>95292.32</v>
      </c>
      <c r="T69" s="347"/>
      <c r="X69" s="53"/>
    </row>
    <row r="70" spans="1:28">
      <c r="E70" s="65">
        <v>92574333</v>
      </c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T70" s="347"/>
      <c r="X70" s="53"/>
    </row>
    <row r="71" spans="1:28">
      <c r="A71" s="49" t="s">
        <v>15</v>
      </c>
      <c r="B71" s="48">
        <v>0.43</v>
      </c>
      <c r="C71" s="48">
        <v>0</v>
      </c>
      <c r="D71" s="43">
        <v>20783</v>
      </c>
      <c r="E71" s="173">
        <f>+G71/B71*100</f>
        <v>27120513.953488372</v>
      </c>
      <c r="F71" s="43">
        <v>2504800934</v>
      </c>
      <c r="G71" s="53">
        <v>116618.21</v>
      </c>
      <c r="H71" s="53">
        <v>10699881.470000001</v>
      </c>
      <c r="I71" s="53">
        <f>F71*C71/100</f>
        <v>0</v>
      </c>
      <c r="J71" s="53">
        <v>35172.639999999999</v>
      </c>
      <c r="K71" s="53">
        <v>58.78</v>
      </c>
      <c r="L71" s="53">
        <f>G71+H71+I71-J71+K71</f>
        <v>10781385.82</v>
      </c>
      <c r="M71" s="53">
        <v>1554629.78</v>
      </c>
      <c r="N71" s="53">
        <f>L71-M71</f>
        <v>9226756.040000001</v>
      </c>
      <c r="O71" s="53">
        <v>0</v>
      </c>
      <c r="P71" s="53">
        <v>0</v>
      </c>
      <c r="Q71" s="53">
        <f>N71-O71-P71</f>
        <v>9226756.040000001</v>
      </c>
      <c r="T71" s="340"/>
      <c r="X71" s="53"/>
      <c r="Z71" s="53">
        <f>+Z59</f>
        <v>24120916.27</v>
      </c>
      <c r="AB71" s="53">
        <f>+Q71/Z71</f>
        <v>0.38252095968160338</v>
      </c>
    </row>
    <row r="72" spans="1:28">
      <c r="A72" s="47" t="s">
        <v>16</v>
      </c>
      <c r="B72" s="48">
        <v>0.43</v>
      </c>
      <c r="C72" s="48">
        <f>C$71</f>
        <v>0</v>
      </c>
      <c r="F72" s="329">
        <f>IF(E70&gt;E71,E70-E71,0)</f>
        <v>65453819.046511628</v>
      </c>
      <c r="G72" s="18">
        <f>F72*(B72-C72)/100</f>
        <v>281451.42190000002</v>
      </c>
      <c r="H72" s="53"/>
      <c r="I72" s="53">
        <f>F72*C72/100</f>
        <v>0</v>
      </c>
      <c r="J72" s="53"/>
      <c r="K72" s="53"/>
      <c r="L72" s="53">
        <f>G72+H72+I72-J72+K72</f>
        <v>281451.42190000002</v>
      </c>
      <c r="M72" s="53"/>
      <c r="N72" s="53">
        <f>L72-M72</f>
        <v>281451.42190000002</v>
      </c>
      <c r="O72" s="53"/>
      <c r="P72" s="53"/>
      <c r="Q72" s="53">
        <f>N72-O72-P72</f>
        <v>281451.42190000002</v>
      </c>
      <c r="T72" s="340"/>
      <c r="X72" s="320"/>
      <c r="Z72" s="53">
        <f>+Z60</f>
        <v>772354.35939999996</v>
      </c>
      <c r="AB72" s="53">
        <f>+Q72/Z72</f>
        <v>0.36440711245372437</v>
      </c>
    </row>
    <row r="73" spans="1:28">
      <c r="A73" s="47" t="s">
        <v>17</v>
      </c>
      <c r="B73" s="48">
        <v>0.43</v>
      </c>
      <c r="C73" s="48">
        <f t="shared" ref="B73:C76" si="28">C$71</f>
        <v>0</v>
      </c>
      <c r="F73" s="66">
        <v>80471234</v>
      </c>
      <c r="G73" s="53"/>
      <c r="H73" s="53">
        <f>F73*(B73-C73)/100</f>
        <v>346026.30619999999</v>
      </c>
      <c r="I73" s="53">
        <f>F73*C73/100</f>
        <v>0</v>
      </c>
      <c r="J73" s="53">
        <v>0</v>
      </c>
      <c r="K73" s="53">
        <v>0</v>
      </c>
      <c r="L73" s="53">
        <f>G73+H73+I73-J73+K73</f>
        <v>346026.30619999999</v>
      </c>
      <c r="M73" s="53">
        <v>0</v>
      </c>
      <c r="N73" s="53">
        <f>L73-M73</f>
        <v>346026.30619999999</v>
      </c>
      <c r="O73" s="53">
        <v>0</v>
      </c>
      <c r="P73" s="53">
        <v>0</v>
      </c>
      <c r="Q73" s="53">
        <f>N73-O73-P73</f>
        <v>346026.30619999999</v>
      </c>
      <c r="T73" s="340"/>
      <c r="X73" s="320"/>
      <c r="Z73" s="53">
        <f>+Z61</f>
        <v>949560.5612</v>
      </c>
      <c r="AB73" s="53">
        <f>+Q73/Z73</f>
        <v>0.36440677966101692</v>
      </c>
    </row>
    <row r="74" spans="1:28">
      <c r="A74" s="47" t="s">
        <v>18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T74" s="340"/>
      <c r="X74" s="320"/>
    </row>
    <row r="75" spans="1:28">
      <c r="A75" s="67" t="s">
        <v>19</v>
      </c>
      <c r="B75" s="48">
        <f>B$71</f>
        <v>0.43</v>
      </c>
      <c r="C75" s="48">
        <f t="shared" ref="C75" si="29">C$59</f>
        <v>0</v>
      </c>
      <c r="F75" s="43">
        <v>61604600.020000003</v>
      </c>
      <c r="G75" s="53">
        <f>50404.2*S78</f>
        <v>18367.632203389832</v>
      </c>
      <c r="H75" s="53">
        <f>693911.27*S78</f>
        <v>252865.97127118646</v>
      </c>
      <c r="I75" s="53">
        <v>0</v>
      </c>
      <c r="J75" s="53">
        <f>17381.17*S78</f>
        <v>6333.8161864406775</v>
      </c>
      <c r="K75" s="53">
        <v>0</v>
      </c>
      <c r="L75" s="53">
        <f>G75+H75+I75-J75+K75</f>
        <v>264899.78728813556</v>
      </c>
      <c r="M75" s="53">
        <f>40837.2*S78</f>
        <v>14881.352542372881</v>
      </c>
      <c r="N75" s="53">
        <f>L75-M75</f>
        <v>250018.43474576267</v>
      </c>
      <c r="O75" s="53">
        <f>12880.18*S78</f>
        <v>4693.6249152542377</v>
      </c>
      <c r="P75" s="53">
        <v>0</v>
      </c>
      <c r="Q75" s="53">
        <f>N75-O75-P75</f>
        <v>245324.80983050843</v>
      </c>
      <c r="R75" s="53"/>
      <c r="S75" s="320">
        <f>+Q75+Q63</f>
        <v>673216.92</v>
      </c>
      <c r="T75" s="340"/>
      <c r="X75" s="320"/>
    </row>
    <row r="76" spans="1:28">
      <c r="A76" s="67" t="s">
        <v>20</v>
      </c>
      <c r="B76" s="48">
        <f t="shared" si="28"/>
        <v>0.43</v>
      </c>
      <c r="C76" s="48">
        <f t="shared" si="28"/>
        <v>0</v>
      </c>
      <c r="F76" s="43">
        <v>8075619.7599999998</v>
      </c>
      <c r="G76" s="53">
        <f>94811.52*S78</f>
        <v>34549.960677966104</v>
      </c>
      <c r="H76" s="53">
        <f>480.8*S78</f>
        <v>175.20677966101698</v>
      </c>
      <c r="I76" s="53">
        <v>0</v>
      </c>
      <c r="J76" s="53">
        <v>0</v>
      </c>
      <c r="K76" s="53">
        <v>0</v>
      </c>
      <c r="L76" s="53">
        <f t="shared" ref="L76" si="30">G76+H76+I76-J76+K76</f>
        <v>34725.167457627118</v>
      </c>
      <c r="M76" s="53">
        <v>0</v>
      </c>
      <c r="N76" s="53">
        <f>L76-M76</f>
        <v>34725.167457627118</v>
      </c>
      <c r="O76" s="18">
        <v>0</v>
      </c>
      <c r="P76" s="53">
        <v>0</v>
      </c>
      <c r="Q76" s="53">
        <f>N76-O76-P76</f>
        <v>34725.167457627118</v>
      </c>
      <c r="T76" s="340"/>
      <c r="X76" s="320"/>
      <c r="Z76" s="339">
        <v>37066.874322033909</v>
      </c>
      <c r="AB76" s="53">
        <f>+Q76/Z76</f>
        <v>0.93682480901782439</v>
      </c>
    </row>
    <row r="77" spans="1:28"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T77" s="340"/>
      <c r="X77" s="320"/>
      <c r="Z77" s="339">
        <v>17614762.146122035</v>
      </c>
      <c r="AB77" s="53">
        <f>+Q77/Z77</f>
        <v>0</v>
      </c>
    </row>
    <row r="78" spans="1:28" s="50" customFormat="1" ht="13.5" thickBot="1">
      <c r="A78" s="57" t="str">
        <f>"TOTAL " &amp; A69</f>
        <v>TOTAL SCHOOL DEBT</v>
      </c>
      <c r="B78" s="51">
        <f>B$71</f>
        <v>0.43</v>
      </c>
      <c r="C78" s="51">
        <f>C$71</f>
        <v>0</v>
      </c>
      <c r="D78" s="78">
        <f t="shared" ref="D78:Q78" si="31">SUM(D71:D73,D75:D76)</f>
        <v>20783</v>
      </c>
      <c r="E78" s="206"/>
      <c r="F78" s="69">
        <f t="shared" ref="F78:H78" si="32">SUM(F71:F73,F75:F76)</f>
        <v>2720406206.8265119</v>
      </c>
      <c r="G78" s="70">
        <f t="shared" si="32"/>
        <v>450987.224781356</v>
      </c>
      <c r="H78" s="70">
        <f t="shared" si="32"/>
        <v>11298948.954250848</v>
      </c>
      <c r="I78" s="79">
        <f t="shared" si="31"/>
        <v>0</v>
      </c>
      <c r="J78" s="79">
        <f t="shared" si="31"/>
        <v>41506.456186440679</v>
      </c>
      <c r="K78" s="79">
        <f t="shared" si="31"/>
        <v>58.78</v>
      </c>
      <c r="L78" s="79">
        <f t="shared" si="31"/>
        <v>11708488.502845762</v>
      </c>
      <c r="M78" s="79">
        <f t="shared" si="31"/>
        <v>1569511.1325423729</v>
      </c>
      <c r="N78" s="79">
        <f t="shared" si="31"/>
        <v>10138977.370303391</v>
      </c>
      <c r="O78" s="79">
        <f t="shared" si="31"/>
        <v>4693.6249152542377</v>
      </c>
      <c r="P78" s="79">
        <f t="shared" si="31"/>
        <v>0</v>
      </c>
      <c r="Q78" s="79">
        <f t="shared" si="31"/>
        <v>10134283.745388137</v>
      </c>
      <c r="S78" s="183">
        <f>B78/B80</f>
        <v>0.36440677966101698</v>
      </c>
      <c r="T78" s="345"/>
      <c r="X78" s="320"/>
    </row>
    <row r="79" spans="1:28"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T79" s="340"/>
      <c r="X79" s="320"/>
    </row>
    <row r="80" spans="1:28" s="50" customFormat="1" ht="13.5" thickBot="1">
      <c r="A80" s="60" t="s">
        <v>34</v>
      </c>
      <c r="B80" s="68">
        <f>B66+B78</f>
        <v>1.18</v>
      </c>
      <c r="C80" s="68">
        <f>C66+C78</f>
        <v>0</v>
      </c>
      <c r="D80" s="69">
        <f>D66</f>
        <v>20783</v>
      </c>
      <c r="E80" s="204"/>
      <c r="F80" s="69">
        <f>F66</f>
        <v>2720406112.7800002</v>
      </c>
      <c r="G80" s="70">
        <f t="shared" ref="G80:Q80" si="33">G66+G78</f>
        <v>1237592.8494000002</v>
      </c>
      <c r="H80" s="70">
        <f t="shared" si="33"/>
        <v>31006440.501199998</v>
      </c>
      <c r="I80" s="70">
        <f t="shared" si="33"/>
        <v>0</v>
      </c>
      <c r="J80" s="70">
        <f t="shared" si="33"/>
        <v>113900.79000000001</v>
      </c>
      <c r="K80" s="70">
        <f t="shared" si="33"/>
        <v>161.31</v>
      </c>
      <c r="L80" s="70">
        <f t="shared" si="33"/>
        <v>32130293.870599993</v>
      </c>
      <c r="M80" s="70">
        <f t="shared" si="33"/>
        <v>4307029.9000000004</v>
      </c>
      <c r="N80" s="70">
        <f t="shared" si="33"/>
        <v>27823263.970600002</v>
      </c>
      <c r="O80" s="70">
        <f t="shared" si="33"/>
        <v>1211923.5400000003</v>
      </c>
      <c r="P80" s="70">
        <f t="shared" si="33"/>
        <v>0</v>
      </c>
      <c r="Q80" s="70">
        <f t="shared" si="33"/>
        <v>26611340.430600002</v>
      </c>
      <c r="T80" s="343"/>
      <c r="X80" s="320"/>
    </row>
    <row r="81" spans="1:24">
      <c r="A81" s="150" t="s">
        <v>355</v>
      </c>
      <c r="F81" s="64">
        <v>2721699308</v>
      </c>
      <c r="X81" s="320"/>
    </row>
    <row r="82" spans="1:24">
      <c r="A82" s="151" t="s">
        <v>30</v>
      </c>
      <c r="D82" s="152"/>
      <c r="E82" s="77"/>
      <c r="F82" s="152">
        <f>(F66-F81)</f>
        <v>-1293195.2199997902</v>
      </c>
    </row>
    <row r="83" spans="1:24" hidden="1">
      <c r="A83" s="54" t="s">
        <v>35</v>
      </c>
      <c r="G83" s="64"/>
    </row>
    <row r="84" spans="1:24" hidden="1">
      <c r="A84" s="50"/>
      <c r="B84" s="51"/>
      <c r="C84" s="51"/>
      <c r="D84" s="52"/>
      <c r="E84" s="65"/>
      <c r="F84" s="52"/>
    </row>
    <row r="85" spans="1:24" hidden="1">
      <c r="A85" s="49" t="s">
        <v>15</v>
      </c>
      <c r="E85" s="173" t="e">
        <f>G85/B85*100</f>
        <v>#DIV/0!</v>
      </c>
      <c r="G85" s="53"/>
      <c r="H85" s="53"/>
      <c r="I85" s="53"/>
      <c r="J85" s="53"/>
      <c r="K85" s="53"/>
      <c r="L85" s="53">
        <f>G85+H85+I85-J85+K85</f>
        <v>0</v>
      </c>
      <c r="M85" s="53"/>
      <c r="N85" s="53">
        <f>L85-M85</f>
        <v>0</v>
      </c>
      <c r="O85" s="53"/>
      <c r="P85" s="53"/>
      <c r="Q85" s="53">
        <f>N85-O85-P85</f>
        <v>0</v>
      </c>
    </row>
    <row r="86" spans="1:24" hidden="1">
      <c r="A86" s="47" t="s">
        <v>16</v>
      </c>
      <c r="B86" s="48">
        <f>B$85</f>
        <v>0</v>
      </c>
      <c r="C86" s="48">
        <f>C$85</f>
        <v>0</v>
      </c>
      <c r="F86" s="65"/>
      <c r="G86" s="53">
        <f>F86*(B86-C86)/100</f>
        <v>0</v>
      </c>
      <c r="H86" s="53"/>
      <c r="I86" s="53">
        <f>F86*C86/100</f>
        <v>0</v>
      </c>
      <c r="J86" s="53"/>
      <c r="K86" s="53"/>
      <c r="L86" s="53">
        <f>G86+H86+I86-J86+K86</f>
        <v>0</v>
      </c>
      <c r="M86" s="53"/>
      <c r="N86" s="53">
        <f>L86-M86</f>
        <v>0</v>
      </c>
      <c r="O86" s="53"/>
      <c r="P86" s="53"/>
      <c r="Q86" s="53">
        <f>N86-O86-P86</f>
        <v>0</v>
      </c>
    </row>
    <row r="87" spans="1:24" hidden="1">
      <c r="A87" s="47" t="s">
        <v>17</v>
      </c>
      <c r="B87" s="48">
        <f t="shared" ref="B87:C90" si="34">B$85</f>
        <v>0</v>
      </c>
      <c r="C87" s="48">
        <f t="shared" si="34"/>
        <v>0</v>
      </c>
      <c r="F87" s="66"/>
      <c r="G87" s="53"/>
      <c r="H87" s="53">
        <f>F87*(B87-C87)/100</f>
        <v>0</v>
      </c>
      <c r="I87" s="53">
        <f>F87*C87/100</f>
        <v>0</v>
      </c>
      <c r="J87" s="53"/>
      <c r="K87" s="53"/>
      <c r="L87" s="53">
        <f>G87+H87+I87-J87+K87</f>
        <v>0</v>
      </c>
      <c r="M87" s="53"/>
      <c r="N87" s="53">
        <f>L87-M87</f>
        <v>0</v>
      </c>
      <c r="O87" s="53"/>
      <c r="P87" s="53"/>
      <c r="Q87" s="53">
        <f>N87-O87-P87</f>
        <v>0</v>
      </c>
    </row>
    <row r="88" spans="1:24" hidden="1">
      <c r="A88" s="47" t="s">
        <v>18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</row>
    <row r="89" spans="1:24" hidden="1">
      <c r="A89" s="67" t="s">
        <v>19</v>
      </c>
      <c r="B89" s="48">
        <f t="shared" si="34"/>
        <v>0</v>
      </c>
      <c r="C89" s="48">
        <f t="shared" si="34"/>
        <v>0</v>
      </c>
      <c r="G89" s="53"/>
      <c r="H89" s="53"/>
      <c r="I89" s="53"/>
      <c r="J89" s="53"/>
      <c r="K89" s="53"/>
      <c r="L89" s="53">
        <f>G89+H89+I89-J89+K89</f>
        <v>0</v>
      </c>
      <c r="M89" s="53"/>
      <c r="N89" s="53">
        <f>L89-M89</f>
        <v>0</v>
      </c>
      <c r="O89" s="53"/>
      <c r="P89" s="53"/>
      <c r="Q89" s="53">
        <f>N89-O89-P89</f>
        <v>0</v>
      </c>
    </row>
    <row r="90" spans="1:24" hidden="1">
      <c r="A90" s="67" t="s">
        <v>20</v>
      </c>
      <c r="B90" s="48">
        <f t="shared" si="34"/>
        <v>0</v>
      </c>
      <c r="C90" s="48">
        <f t="shared" si="34"/>
        <v>0</v>
      </c>
      <c r="G90" s="53"/>
      <c r="H90" s="53"/>
      <c r="I90" s="53"/>
      <c r="J90" s="53"/>
      <c r="K90" s="53"/>
      <c r="L90" s="53">
        <f>G90+H90+I90-J90+K90</f>
        <v>0</v>
      </c>
      <c r="M90" s="53"/>
      <c r="N90" s="53">
        <f>L90-M90</f>
        <v>0</v>
      </c>
      <c r="O90" s="53"/>
      <c r="P90" s="53"/>
      <c r="Q90" s="53">
        <f>N90-O90-P90</f>
        <v>0</v>
      </c>
    </row>
    <row r="91" spans="1:24" hidden="1"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1:24" s="50" customFormat="1" ht="13.5" hidden="1" thickBot="1">
      <c r="A92" s="60" t="str">
        <f>"TOTAL " &amp; A83</f>
        <v>TOTAL EAGLE VALLEY UNDERGROUND WATER BASIN</v>
      </c>
      <c r="B92" s="68">
        <f>B$85</f>
        <v>0</v>
      </c>
      <c r="C92" s="68">
        <f>C$85</f>
        <v>0</v>
      </c>
      <c r="D92" s="69">
        <f t="shared" ref="D92:Q92" si="35">SUM(D85:D87,D89:D90)</f>
        <v>0</v>
      </c>
      <c r="E92" s="204"/>
      <c r="F92" s="69">
        <f t="shared" si="35"/>
        <v>0</v>
      </c>
      <c r="G92" s="70">
        <f t="shared" si="35"/>
        <v>0</v>
      </c>
      <c r="H92" s="70">
        <f t="shared" si="35"/>
        <v>0</v>
      </c>
      <c r="I92" s="70">
        <f t="shared" si="35"/>
        <v>0</v>
      </c>
      <c r="J92" s="70">
        <f t="shared" si="35"/>
        <v>0</v>
      </c>
      <c r="K92" s="70">
        <f t="shared" si="35"/>
        <v>0</v>
      </c>
      <c r="L92" s="70">
        <f t="shared" si="35"/>
        <v>0</v>
      </c>
      <c r="M92" s="70">
        <f t="shared" si="35"/>
        <v>0</v>
      </c>
      <c r="N92" s="70">
        <f t="shared" si="35"/>
        <v>0</v>
      </c>
      <c r="O92" s="70">
        <f t="shared" si="35"/>
        <v>0</v>
      </c>
      <c r="P92" s="70">
        <f t="shared" si="35"/>
        <v>0</v>
      </c>
      <c r="Q92" s="70">
        <f t="shared" si="35"/>
        <v>0</v>
      </c>
      <c r="X92" s="49"/>
    </row>
    <row r="93" spans="1:24" hidden="1">
      <c r="A93" s="150" t="s">
        <v>355</v>
      </c>
      <c r="F93" s="64"/>
      <c r="X93" s="50"/>
    </row>
    <row r="94" spans="1:24" hidden="1">
      <c r="A94" s="151" t="s">
        <v>30</v>
      </c>
      <c r="D94" s="152"/>
      <c r="E94" s="77"/>
      <c r="F94" s="152">
        <f>F92-F93</f>
        <v>0</v>
      </c>
    </row>
    <row r="95" spans="1:24">
      <c r="A95" s="54" t="s">
        <v>36</v>
      </c>
      <c r="B95" s="51"/>
      <c r="C95" s="51"/>
      <c r="D95" s="52"/>
      <c r="E95" s="203"/>
      <c r="F95" s="52"/>
      <c r="G95" s="64"/>
    </row>
    <row r="96" spans="1:24">
      <c r="E96" s="65">
        <v>92574333</v>
      </c>
    </row>
    <row r="97" spans="1:24">
      <c r="A97" s="49" t="s">
        <v>15</v>
      </c>
      <c r="B97" s="48">
        <v>0.03</v>
      </c>
      <c r="C97" s="48">
        <v>0</v>
      </c>
      <c r="D97" s="43">
        <v>20781</v>
      </c>
      <c r="E97" s="173">
        <f>+G97/B97*100</f>
        <v>27119366.666666668</v>
      </c>
      <c r="F97" s="43">
        <v>2503009546</v>
      </c>
      <c r="G97" s="53">
        <v>8135.81</v>
      </c>
      <c r="H97" s="53">
        <v>745967.19</v>
      </c>
      <c r="I97" s="53">
        <f>F97*C97/100</f>
        <v>0</v>
      </c>
      <c r="J97" s="53">
        <v>2454.3000000000002</v>
      </c>
      <c r="K97" s="53">
        <v>4.1100000000000003</v>
      </c>
      <c r="L97" s="53">
        <f>G97+H97+I97-J97+K97</f>
        <v>751652.80999999994</v>
      </c>
      <c r="M97" s="53">
        <v>109910.82</v>
      </c>
      <c r="N97" s="53">
        <f>L97-M97</f>
        <v>641741.99</v>
      </c>
      <c r="O97" s="53">
        <v>46785.48</v>
      </c>
      <c r="P97" s="53">
        <v>0</v>
      </c>
      <c r="Q97" s="53">
        <f>N97-O97-P97</f>
        <v>594956.51</v>
      </c>
    </row>
    <row r="98" spans="1:24">
      <c r="A98" s="47" t="s">
        <v>16</v>
      </c>
      <c r="B98" s="48">
        <f>B$97</f>
        <v>0.03</v>
      </c>
      <c r="C98" s="48">
        <f>C$97</f>
        <v>0</v>
      </c>
      <c r="F98" s="329">
        <f>IF(E96&gt;E97,E96-E97,0)</f>
        <v>65454966.333333328</v>
      </c>
      <c r="G98" s="18">
        <f>F98*(B98-C98)/100</f>
        <v>19636.489899999997</v>
      </c>
      <c r="H98" s="53"/>
      <c r="I98" s="53">
        <f>F98*C98/100</f>
        <v>0</v>
      </c>
      <c r="J98" s="53"/>
      <c r="K98" s="53"/>
      <c r="L98" s="53">
        <f>G98+H98+I98-J98+K98</f>
        <v>19636.489899999997</v>
      </c>
      <c r="M98" s="53"/>
      <c r="N98" s="53">
        <f>L98-M98</f>
        <v>19636.489899999997</v>
      </c>
      <c r="O98" s="53"/>
      <c r="P98" s="53"/>
      <c r="Q98" s="53">
        <f>N98-O98-P98</f>
        <v>19636.489899999997</v>
      </c>
    </row>
    <row r="99" spans="1:24">
      <c r="A99" s="47" t="s">
        <v>17</v>
      </c>
      <c r="B99" s="48">
        <f>B$97</f>
        <v>0.03</v>
      </c>
      <c r="C99" s="48">
        <f t="shared" ref="B99:C102" si="36">C$97</f>
        <v>0</v>
      </c>
      <c r="F99" s="66">
        <v>80471234</v>
      </c>
      <c r="G99" s="53"/>
      <c r="H99" s="18">
        <f>F99*(B99-C99)/100</f>
        <v>24141.370200000001</v>
      </c>
      <c r="I99" s="53">
        <f>F99*C99/100</f>
        <v>0</v>
      </c>
      <c r="J99" s="53">
        <v>0</v>
      </c>
      <c r="K99" s="53">
        <v>0</v>
      </c>
      <c r="L99" s="53">
        <f>G99+H99+I99-J99+K99</f>
        <v>24141.370200000001</v>
      </c>
      <c r="M99" s="53">
        <v>0</v>
      </c>
      <c r="N99" s="53">
        <f>L99-M99</f>
        <v>24141.370200000001</v>
      </c>
      <c r="O99" s="53">
        <v>0</v>
      </c>
      <c r="P99" s="53">
        <v>0</v>
      </c>
      <c r="Q99" s="53">
        <f>N99-O99-P99</f>
        <v>24141.370200000001</v>
      </c>
    </row>
    <row r="100" spans="1:24" s="457" customFormat="1">
      <c r="A100" s="47" t="s">
        <v>18</v>
      </c>
      <c r="B100" s="48"/>
      <c r="C100" s="48"/>
      <c r="D100" s="43"/>
      <c r="E100" s="454"/>
      <c r="F100" s="4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49"/>
      <c r="X100" s="49"/>
    </row>
    <row r="101" spans="1:24" s="457" customFormat="1">
      <c r="A101" s="67" t="s">
        <v>19</v>
      </c>
      <c r="B101" s="48">
        <f t="shared" si="36"/>
        <v>0.03</v>
      </c>
      <c r="C101" s="48">
        <f t="shared" si="36"/>
        <v>0</v>
      </c>
      <c r="D101" s="43"/>
      <c r="E101" s="454"/>
      <c r="F101" s="43">
        <v>62859193.450000003</v>
      </c>
      <c r="G101" s="53">
        <v>1279.05</v>
      </c>
      <c r="H101" s="53">
        <v>17578.82</v>
      </c>
      <c r="I101" s="53">
        <v>0</v>
      </c>
      <c r="J101" s="53">
        <v>439.14</v>
      </c>
      <c r="K101" s="53">
        <v>0</v>
      </c>
      <c r="L101" s="53">
        <f>G101+H101+I101-J101+K101</f>
        <v>18418.73</v>
      </c>
      <c r="M101" s="53">
        <v>1034.33</v>
      </c>
      <c r="N101" s="53">
        <f>L101-M101</f>
        <v>17384.400000000001</v>
      </c>
      <c r="O101" s="53">
        <v>515.20000000000005</v>
      </c>
      <c r="P101" s="53">
        <v>0</v>
      </c>
      <c r="Q101" s="53">
        <f>N101-O101-P101</f>
        <v>16869.2</v>
      </c>
      <c r="R101" s="49"/>
    </row>
    <row r="102" spans="1:24" s="457" customFormat="1">
      <c r="A102" s="67" t="s">
        <v>20</v>
      </c>
      <c r="B102" s="48">
        <f t="shared" si="36"/>
        <v>0.03</v>
      </c>
      <c r="C102" s="48">
        <f t="shared" si="36"/>
        <v>0</v>
      </c>
      <c r="D102" s="43"/>
      <c r="E102" s="454"/>
      <c r="F102" s="43">
        <v>8021893.8700000001</v>
      </c>
      <c r="G102" s="53">
        <v>2394.34</v>
      </c>
      <c r="H102" s="53">
        <v>12.22</v>
      </c>
      <c r="I102" s="53">
        <v>0</v>
      </c>
      <c r="J102" s="53">
        <v>0</v>
      </c>
      <c r="K102" s="53">
        <v>0</v>
      </c>
      <c r="L102" s="53">
        <f>G102+H102+I102-J102+K102</f>
        <v>2406.56</v>
      </c>
      <c r="M102" s="53">
        <v>0</v>
      </c>
      <c r="N102" s="53">
        <f>L102-M102</f>
        <v>2406.56</v>
      </c>
      <c r="O102" s="53">
        <v>66.11</v>
      </c>
      <c r="P102" s="53">
        <v>0</v>
      </c>
      <c r="Q102" s="53">
        <f>N102-O102-P102</f>
        <v>2340.4499999999998</v>
      </c>
      <c r="R102" s="49"/>
    </row>
    <row r="103" spans="1:24"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X103" s="457"/>
    </row>
    <row r="104" spans="1:24" s="50" customFormat="1" ht="13.5" thickBot="1">
      <c r="A104" s="60" t="str">
        <f>"TOTAL " &amp; A95</f>
        <v>TOTAL CARSON WATER SUBCONSERVANCY DISTRICT</v>
      </c>
      <c r="B104" s="68">
        <f>B$97</f>
        <v>0.03</v>
      </c>
      <c r="C104" s="68">
        <f>C$97</f>
        <v>0</v>
      </c>
      <c r="D104" s="69">
        <f t="shared" ref="D104:Q104" si="37">SUM(D97:D99,D101:D102)</f>
        <v>20781</v>
      </c>
      <c r="E104" s="204"/>
      <c r="F104" s="69">
        <f t="shared" si="37"/>
        <v>2719816833.6533332</v>
      </c>
      <c r="G104" s="70">
        <f t="shared" si="37"/>
        <v>31445.689899999998</v>
      </c>
      <c r="H104" s="70">
        <f t="shared" si="37"/>
        <v>787699.60019999987</v>
      </c>
      <c r="I104" s="70">
        <f t="shared" si="37"/>
        <v>0</v>
      </c>
      <c r="J104" s="70">
        <f t="shared" si="37"/>
        <v>2893.44</v>
      </c>
      <c r="K104" s="70">
        <f t="shared" si="37"/>
        <v>4.1100000000000003</v>
      </c>
      <c r="L104" s="70">
        <f t="shared" si="37"/>
        <v>816255.96010000003</v>
      </c>
      <c r="M104" s="70">
        <f t="shared" si="37"/>
        <v>110945.15000000001</v>
      </c>
      <c r="N104" s="70">
        <f t="shared" si="37"/>
        <v>705310.81010000012</v>
      </c>
      <c r="O104" s="70">
        <f t="shared" si="37"/>
        <v>47366.79</v>
      </c>
      <c r="P104" s="70">
        <f t="shared" si="37"/>
        <v>0</v>
      </c>
      <c r="Q104" s="70">
        <f t="shared" si="37"/>
        <v>657944.02009999997</v>
      </c>
      <c r="X104" s="49"/>
    </row>
    <row r="105" spans="1:24">
      <c r="A105" s="150" t="s">
        <v>355</v>
      </c>
      <c r="F105" s="64">
        <v>2721436784</v>
      </c>
      <c r="X105" s="50"/>
    </row>
    <row r="106" spans="1:24">
      <c r="A106" s="151" t="s">
        <v>30</v>
      </c>
      <c r="D106" s="152"/>
      <c r="E106" s="77"/>
      <c r="F106" s="152">
        <f>F104-F105</f>
        <v>-1619950.3466668129</v>
      </c>
    </row>
    <row r="107" spans="1:24" hidden="1">
      <c r="A107" s="54" t="s">
        <v>37</v>
      </c>
      <c r="G107" s="64"/>
    </row>
    <row r="108" spans="1:24" hidden="1"/>
    <row r="109" spans="1:24" hidden="1">
      <c r="A109" s="49" t="s">
        <v>15</v>
      </c>
      <c r="E109" s="173" t="e">
        <f>+G109/B109*100</f>
        <v>#DIV/0!</v>
      </c>
      <c r="G109" s="53"/>
      <c r="H109" s="53"/>
      <c r="I109" s="53"/>
      <c r="J109" s="53"/>
      <c r="K109" s="53"/>
      <c r="L109" s="53">
        <f>G109+H109+I109-J109+K109</f>
        <v>0</v>
      </c>
      <c r="M109" s="53"/>
      <c r="N109" s="53">
        <f>L109-M109</f>
        <v>0</v>
      </c>
      <c r="O109" s="53"/>
      <c r="P109" s="53"/>
      <c r="Q109" s="53">
        <f>N109-O109-P109</f>
        <v>0</v>
      </c>
    </row>
    <row r="110" spans="1:24" hidden="1">
      <c r="A110" s="47" t="s">
        <v>16</v>
      </c>
      <c r="B110" s="48">
        <f>B$109</f>
        <v>0</v>
      </c>
      <c r="C110" s="48">
        <f>C$109</f>
        <v>0</v>
      </c>
      <c r="F110" s="65"/>
      <c r="G110" s="53">
        <f>F110*(B110-C110)/100</f>
        <v>0</v>
      </c>
      <c r="H110" s="53"/>
      <c r="I110" s="53">
        <f>F110*C110/100</f>
        <v>0</v>
      </c>
      <c r="J110" s="53"/>
      <c r="K110" s="53"/>
      <c r="L110" s="53">
        <f>G110+H110+I110-J110+K110</f>
        <v>0</v>
      </c>
      <c r="M110" s="53"/>
      <c r="N110" s="53">
        <f>L110-M110</f>
        <v>0</v>
      </c>
      <c r="O110" s="53"/>
      <c r="P110" s="53"/>
      <c r="Q110" s="53">
        <f>N110-O110-P110</f>
        <v>0</v>
      </c>
    </row>
    <row r="111" spans="1:24" hidden="1">
      <c r="A111" s="47" t="s">
        <v>17</v>
      </c>
      <c r="B111" s="48">
        <f t="shared" ref="B111:C114" si="38">B$109</f>
        <v>0</v>
      </c>
      <c r="C111" s="48">
        <f t="shared" si="38"/>
        <v>0</v>
      </c>
      <c r="F111" s="66"/>
      <c r="G111" s="53"/>
      <c r="H111" s="53">
        <f>F111*(B111-C111)/100</f>
        <v>0</v>
      </c>
      <c r="I111" s="53">
        <f>F111*C111/100</f>
        <v>0</v>
      </c>
      <c r="J111" s="53"/>
      <c r="K111" s="53"/>
      <c r="L111" s="53">
        <f>G111+H111+I111-J111+K111</f>
        <v>0</v>
      </c>
      <c r="M111" s="53"/>
      <c r="N111" s="53">
        <f>L111-M111</f>
        <v>0</v>
      </c>
      <c r="O111" s="53"/>
      <c r="P111" s="53"/>
      <c r="Q111" s="53">
        <f>N111-O111-P111</f>
        <v>0</v>
      </c>
    </row>
    <row r="112" spans="1:24" hidden="1">
      <c r="A112" s="47" t="s">
        <v>18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24" hidden="1">
      <c r="A113" s="67" t="s">
        <v>19</v>
      </c>
      <c r="B113" s="48">
        <f t="shared" si="38"/>
        <v>0</v>
      </c>
      <c r="C113" s="48">
        <f t="shared" si="38"/>
        <v>0</v>
      </c>
      <c r="G113" s="53"/>
      <c r="H113" s="53"/>
      <c r="I113" s="53"/>
      <c r="J113" s="53"/>
      <c r="K113" s="53"/>
      <c r="L113" s="53">
        <f>G113+H113+I113-J113+K113</f>
        <v>0</v>
      </c>
      <c r="M113" s="53"/>
      <c r="N113" s="53">
        <f>L113-M113</f>
        <v>0</v>
      </c>
      <c r="O113" s="53"/>
      <c r="P113" s="53"/>
      <c r="Q113" s="53">
        <f>N113-O113-P113</f>
        <v>0</v>
      </c>
    </row>
    <row r="114" spans="1:24" hidden="1">
      <c r="A114" s="67" t="s">
        <v>20</v>
      </c>
      <c r="B114" s="48">
        <f t="shared" si="38"/>
        <v>0</v>
      </c>
      <c r="C114" s="48">
        <f t="shared" si="38"/>
        <v>0</v>
      </c>
      <c r="G114" s="53"/>
      <c r="H114" s="53"/>
      <c r="I114" s="53"/>
      <c r="J114" s="53"/>
      <c r="K114" s="53"/>
      <c r="L114" s="53">
        <f>G114+H114+I114-J114+K114</f>
        <v>0</v>
      </c>
      <c r="M114" s="53"/>
      <c r="N114" s="53">
        <f>L114-M114</f>
        <v>0</v>
      </c>
      <c r="O114" s="53"/>
      <c r="P114" s="53"/>
      <c r="Q114" s="53">
        <f>N114-O114-P114</f>
        <v>0</v>
      </c>
    </row>
    <row r="115" spans="1:24" hidden="1"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24" s="50" customFormat="1" ht="13.5" hidden="1" thickBot="1">
      <c r="A116" s="60" t="str">
        <f>"TOTAL " &amp; A107</f>
        <v>TOTAL CARSON VALLEY UNDERGROUND WATER BASIN</v>
      </c>
      <c r="B116" s="68">
        <f>B$109</f>
        <v>0</v>
      </c>
      <c r="C116" s="68">
        <f>C$109</f>
        <v>0</v>
      </c>
      <c r="D116" s="69">
        <f t="shared" ref="D116:Q116" si="39">SUM(D109:D111,D113:D114)</f>
        <v>0</v>
      </c>
      <c r="E116" s="204"/>
      <c r="F116" s="69">
        <f t="shared" si="39"/>
        <v>0</v>
      </c>
      <c r="G116" s="70">
        <f t="shared" si="39"/>
        <v>0</v>
      </c>
      <c r="H116" s="70">
        <f t="shared" si="39"/>
        <v>0</v>
      </c>
      <c r="I116" s="70">
        <f t="shared" si="39"/>
        <v>0</v>
      </c>
      <c r="J116" s="70">
        <f t="shared" si="39"/>
        <v>0</v>
      </c>
      <c r="K116" s="70">
        <f t="shared" si="39"/>
        <v>0</v>
      </c>
      <c r="L116" s="70">
        <f t="shared" si="39"/>
        <v>0</v>
      </c>
      <c r="M116" s="70">
        <f t="shared" si="39"/>
        <v>0</v>
      </c>
      <c r="N116" s="70">
        <f t="shared" si="39"/>
        <v>0</v>
      </c>
      <c r="O116" s="70">
        <f t="shared" si="39"/>
        <v>0</v>
      </c>
      <c r="P116" s="70">
        <f t="shared" si="39"/>
        <v>0</v>
      </c>
      <c r="Q116" s="70">
        <f t="shared" si="39"/>
        <v>0</v>
      </c>
      <c r="X116" s="49"/>
    </row>
    <row r="117" spans="1:24" hidden="1">
      <c r="A117" s="150" t="s">
        <v>355</v>
      </c>
      <c r="F117" s="64"/>
      <c r="X117" s="50"/>
    </row>
    <row r="118" spans="1:24" hidden="1">
      <c r="A118" s="151" t="s">
        <v>30</v>
      </c>
      <c r="D118" s="152"/>
      <c r="E118" s="77"/>
      <c r="F118" s="152">
        <f>F116-F117</f>
        <v>0</v>
      </c>
    </row>
    <row r="119" spans="1:24" hidden="1">
      <c r="A119" s="54" t="s">
        <v>38</v>
      </c>
      <c r="G119" s="64"/>
    </row>
    <row r="120" spans="1:24" hidden="1"/>
    <row r="121" spans="1:24" hidden="1">
      <c r="A121" s="49" t="s">
        <v>15</v>
      </c>
      <c r="E121" s="173" t="e">
        <f>+G121/B121*100</f>
        <v>#DIV/0!</v>
      </c>
      <c r="G121" s="53"/>
      <c r="H121" s="53"/>
      <c r="I121" s="53"/>
      <c r="J121" s="53"/>
      <c r="K121" s="53"/>
      <c r="L121" s="53">
        <f>G121+H121+I121-J121+K121</f>
        <v>0</v>
      </c>
      <c r="M121" s="53"/>
      <c r="N121" s="53">
        <f>L121-M121</f>
        <v>0</v>
      </c>
      <c r="O121" s="53"/>
      <c r="P121" s="53"/>
      <c r="Q121" s="53">
        <f>N121-O121-P121</f>
        <v>0</v>
      </c>
    </row>
    <row r="122" spans="1:24" hidden="1">
      <c r="A122" s="47" t="s">
        <v>16</v>
      </c>
      <c r="B122" s="48">
        <f>B$121</f>
        <v>0</v>
      </c>
      <c r="C122" s="48">
        <f>C$121</f>
        <v>0</v>
      </c>
      <c r="F122" s="65"/>
      <c r="G122" s="53">
        <f>F122*(B122-C122)/100</f>
        <v>0</v>
      </c>
      <c r="H122" s="53"/>
      <c r="I122" s="53">
        <f>F122*C122/100</f>
        <v>0</v>
      </c>
      <c r="J122" s="53"/>
      <c r="K122" s="53"/>
      <c r="L122" s="53">
        <f>G122+H122+I122-J122+K122</f>
        <v>0</v>
      </c>
      <c r="M122" s="53"/>
      <c r="N122" s="53">
        <f>L122-M122</f>
        <v>0</v>
      </c>
      <c r="O122" s="53"/>
      <c r="P122" s="53"/>
      <c r="Q122" s="53">
        <f>N122-O122-P122</f>
        <v>0</v>
      </c>
    </row>
    <row r="123" spans="1:24" hidden="1">
      <c r="A123" s="47" t="s">
        <v>17</v>
      </c>
      <c r="B123" s="48">
        <f t="shared" ref="B123:C126" si="40">B$121</f>
        <v>0</v>
      </c>
      <c r="C123" s="48">
        <f t="shared" si="40"/>
        <v>0</v>
      </c>
      <c r="F123" s="66"/>
      <c r="G123" s="53"/>
      <c r="H123" s="53">
        <f>F123*(B123-C123)/100</f>
        <v>0</v>
      </c>
      <c r="I123" s="53">
        <f>F123*C123/100</f>
        <v>0</v>
      </c>
      <c r="J123" s="53"/>
      <c r="K123" s="53"/>
      <c r="L123" s="53">
        <f>G123+H123+I123-J123+K123</f>
        <v>0</v>
      </c>
      <c r="M123" s="53"/>
      <c r="N123" s="53">
        <f>L123-M123</f>
        <v>0</v>
      </c>
      <c r="O123" s="53"/>
      <c r="P123" s="53"/>
      <c r="Q123" s="53">
        <f>N123-O123-P123</f>
        <v>0</v>
      </c>
    </row>
    <row r="124" spans="1:24" hidden="1">
      <c r="A124" s="47" t="s">
        <v>18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1:24" hidden="1">
      <c r="A125" s="67" t="s">
        <v>19</v>
      </c>
      <c r="B125" s="48">
        <f t="shared" si="40"/>
        <v>0</v>
      </c>
      <c r="C125" s="48">
        <f t="shared" si="40"/>
        <v>0</v>
      </c>
      <c r="G125" s="53"/>
      <c r="H125" s="53"/>
      <c r="I125" s="53"/>
      <c r="J125" s="53"/>
      <c r="K125" s="53"/>
      <c r="L125" s="53">
        <f>G125+H125+I125-J125+K125</f>
        <v>0</v>
      </c>
      <c r="M125" s="53"/>
      <c r="N125" s="53">
        <f>L125-M125</f>
        <v>0</v>
      </c>
      <c r="O125" s="53"/>
      <c r="P125" s="53"/>
      <c r="Q125" s="53">
        <f>N125-O125-P125</f>
        <v>0</v>
      </c>
    </row>
    <row r="126" spans="1:24" hidden="1">
      <c r="A126" s="67" t="s">
        <v>20</v>
      </c>
      <c r="B126" s="48">
        <f t="shared" si="40"/>
        <v>0</v>
      </c>
      <c r="C126" s="48">
        <f t="shared" si="40"/>
        <v>0</v>
      </c>
      <c r="G126" s="53"/>
      <c r="H126" s="53"/>
      <c r="I126" s="53"/>
      <c r="J126" s="53"/>
      <c r="K126" s="53"/>
      <c r="L126" s="53">
        <f>G126+H126+I126-J126+K126</f>
        <v>0</v>
      </c>
      <c r="M126" s="53"/>
      <c r="N126" s="53">
        <f>L126-M126</f>
        <v>0</v>
      </c>
      <c r="O126" s="53"/>
      <c r="P126" s="53"/>
      <c r="Q126" s="53">
        <f>N126-O126-P126</f>
        <v>0</v>
      </c>
    </row>
    <row r="127" spans="1:24" hidden="1"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1:24" s="50" customFormat="1" ht="13.5" hidden="1" thickBot="1">
      <c r="A128" s="60" t="str">
        <f>"TOTAL " &amp; A119</f>
        <v>TOTAL SIERRA FOREST FIRE PROTECTION DISTRICT</v>
      </c>
      <c r="B128" s="68">
        <f>B$121</f>
        <v>0</v>
      </c>
      <c r="C128" s="68">
        <f>C$121</f>
        <v>0</v>
      </c>
      <c r="D128" s="69">
        <f t="shared" ref="D128:Q128" si="41">SUM(D121:D123,D125:D126)</f>
        <v>0</v>
      </c>
      <c r="E128" s="204"/>
      <c r="F128" s="69">
        <f t="shared" si="41"/>
        <v>0</v>
      </c>
      <c r="G128" s="70">
        <f t="shared" si="41"/>
        <v>0</v>
      </c>
      <c r="H128" s="70">
        <f t="shared" si="41"/>
        <v>0</v>
      </c>
      <c r="I128" s="70">
        <f t="shared" si="41"/>
        <v>0</v>
      </c>
      <c r="J128" s="70">
        <f t="shared" si="41"/>
        <v>0</v>
      </c>
      <c r="K128" s="70">
        <f t="shared" si="41"/>
        <v>0</v>
      </c>
      <c r="L128" s="70">
        <f t="shared" si="41"/>
        <v>0</v>
      </c>
      <c r="M128" s="70">
        <f t="shared" si="41"/>
        <v>0</v>
      </c>
      <c r="N128" s="70">
        <f t="shared" si="41"/>
        <v>0</v>
      </c>
      <c r="O128" s="70">
        <f t="shared" si="41"/>
        <v>0</v>
      </c>
      <c r="P128" s="70">
        <f t="shared" si="41"/>
        <v>0</v>
      </c>
      <c r="Q128" s="70">
        <f t="shared" si="41"/>
        <v>0</v>
      </c>
      <c r="X128" s="49"/>
    </row>
    <row r="129" spans="1:24" hidden="1">
      <c r="A129" s="150" t="s">
        <v>355</v>
      </c>
      <c r="F129" s="64"/>
      <c r="X129" s="50"/>
    </row>
    <row r="130" spans="1:24" hidden="1">
      <c r="A130" s="151" t="s">
        <v>30</v>
      </c>
      <c r="D130" s="152"/>
      <c r="E130" s="77"/>
      <c r="F130" s="152">
        <f>F128-F129</f>
        <v>0</v>
      </c>
    </row>
    <row r="131" spans="1:24">
      <c r="A131" s="49"/>
    </row>
    <row r="132" spans="1:24">
      <c r="A132" s="289" t="s">
        <v>104</v>
      </c>
      <c r="B132" s="290" t="s">
        <v>569</v>
      </c>
      <c r="C132" s="291"/>
      <c r="D132" s="105"/>
      <c r="E132" s="105"/>
      <c r="F132" s="105"/>
      <c r="G132" s="105"/>
      <c r="H132" s="105"/>
      <c r="I132" s="105"/>
      <c r="J132" s="105"/>
      <c r="K132" s="105"/>
    </row>
    <row r="137" spans="1:24">
      <c r="A137" s="57"/>
      <c r="B137" s="176"/>
      <c r="C137" s="176"/>
      <c r="D137" s="177"/>
      <c r="E137" s="207"/>
      <c r="F137" s="177"/>
      <c r="R137" s="53"/>
    </row>
    <row r="138" spans="1:24"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9"/>
    </row>
    <row r="139" spans="1:24" ht="15">
      <c r="A139" s="368"/>
      <c r="B139"/>
      <c r="C139"/>
      <c r="D139"/>
      <c r="F139"/>
      <c r="G139"/>
      <c r="H139"/>
    </row>
    <row r="140" spans="1:24" ht="15">
      <c r="A140" s="368"/>
      <c r="B140"/>
      <c r="C140"/>
      <c r="D140"/>
      <c r="F140"/>
      <c r="G140"/>
      <c r="H140"/>
    </row>
    <row r="141" spans="1:24" ht="14.25">
      <c r="A141" s="369"/>
      <c r="B141" s="570"/>
      <c r="C141" s="570"/>
      <c r="D141" s="570"/>
      <c r="F141" s="570"/>
      <c r="G141" s="570"/>
      <c r="H141" s="570"/>
    </row>
    <row r="142" spans="1:24" ht="14.25">
      <c r="A142" s="369"/>
      <c r="B142" s="370"/>
      <c r="C142" s="370"/>
      <c r="D142" s="370"/>
      <c r="F142" s="370"/>
      <c r="G142" s="370"/>
      <c r="H142" s="370"/>
    </row>
    <row r="143" spans="1:24" ht="14.25">
      <c r="A143" s="371"/>
      <c r="B143" s="374"/>
      <c r="C143" s="374"/>
      <c r="D143" s="373"/>
      <c r="F143" s="372"/>
      <c r="G143" s="372"/>
      <c r="H143" s="373"/>
    </row>
    <row r="144" spans="1:24" ht="14.25">
      <c r="A144" s="371"/>
      <c r="B144" s="374"/>
      <c r="C144" s="374"/>
      <c r="D144" s="373"/>
      <c r="F144" s="372"/>
      <c r="G144" s="372"/>
      <c r="H144" s="373"/>
    </row>
    <row r="145" spans="1:8" ht="14.25">
      <c r="A145" s="371"/>
      <c r="B145" s="374"/>
      <c r="C145" s="374"/>
      <c r="D145" s="373"/>
      <c r="F145" s="372"/>
      <c r="G145" s="372"/>
      <c r="H145" s="373"/>
    </row>
    <row r="146" spans="1:8" ht="14.25">
      <c r="A146" s="369"/>
      <c r="B146" s="369"/>
      <c r="C146" s="369"/>
      <c r="D146" s="373"/>
      <c r="F146" s="369"/>
      <c r="G146" s="369"/>
      <c r="H146" s="373"/>
    </row>
    <row r="147" spans="1:8" ht="14.25">
      <c r="A147" s="371"/>
      <c r="B147" s="374"/>
      <c r="C147" s="374"/>
      <c r="D147" s="373"/>
      <c r="F147" s="372"/>
      <c r="G147" s="372"/>
      <c r="H147" s="373"/>
    </row>
    <row r="148" spans="1:8">
      <c r="A148" s="57"/>
      <c r="B148" s="51"/>
      <c r="C148" s="51"/>
      <c r="D148" s="52"/>
      <c r="E148" s="203"/>
      <c r="F148" s="52"/>
    </row>
  </sheetData>
  <customSheetViews>
    <customSheetView guid="{AE6F0488-1842-4C89-B05F-A836B633FB8F}" scale="75" showPageBreaks="1" hiddenColumns="1" showRuler="0">
      <pane xSplit="5" ySplit="3" topLeftCell="F64" activePane="bottomRight" state="frozen"/>
      <selection pane="bottomRight" activeCell="G96" sqref="G96"/>
      <rowBreaks count="2" manualBreakCount="2">
        <brk id="49" max="16" man="1"/>
        <brk id="94" max="15" man="1"/>
      </rowBreaks>
      <pageMargins left="0.17" right="0.16" top="0.91" bottom="0.9" header="0.4" footer="0.35"/>
      <pageSetup paperSize="5" scale="70" orientation="landscape" useFirstPageNumber="1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F24" sqref="F24"/>
      <rowBreaks count="3" manualBreakCount="3">
        <brk id="49" max="16" man="1"/>
        <brk id="94" max="15" man="1"/>
        <brk id="148" max="16383" man="1"/>
      </rowBreaks>
      <pageMargins left="0.17" right="0.16" top="0.91" bottom="0.9" header="0.4" footer="0.35"/>
      <pageSetup paperSize="5" scale="70" orientation="landscape" useFirstPageNumber="1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79" activePane="bottomRight" state="frozen"/>
      <selection pane="bottomRight" activeCell="J83" sqref="J83"/>
      <rowBreaks count="2" manualBreakCount="2">
        <brk id="49" max="16" man="1"/>
        <brk id="94" max="15" man="1"/>
      </rowBreaks>
      <pageMargins left="0.17" right="0.16" top="0.91" bottom="0.9" header="0.4" footer="0.35"/>
      <pageSetup paperSize="5" scale="70" orientation="landscape" useFirstPageNumber="1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mergeCells count="2">
    <mergeCell ref="B141:D141"/>
    <mergeCell ref="F141:H141"/>
  </mergeCells>
  <phoneticPr fontId="5" type="noConversion"/>
  <pageMargins left="0.75" right="0.75" top="1" bottom="1" header="0.5" footer="0.5"/>
  <pageSetup paperSize="5" scale="58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1" manualBreakCount="1">
    <brk id="55" max="16" man="1"/>
  </rowBreaks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0.79998168889431442"/>
    <pageSetUpPr fitToPage="1"/>
  </sheetPr>
  <dimension ref="A1:Y159"/>
  <sheetViews>
    <sheetView view="pageBreakPreview" zoomScale="68" zoomScaleNormal="69" zoomScaleSheetLayoutView="68" workbookViewId="0">
      <pane ySplit="3" topLeftCell="A4" activePane="bottomLeft" state="frozen"/>
      <selection activeCell="A3" sqref="A3"/>
      <selection pane="bottomLeft" activeCell="A3" sqref="A3"/>
    </sheetView>
  </sheetViews>
  <sheetFormatPr defaultColWidth="9.140625" defaultRowHeight="12.75" customHeight="1"/>
  <cols>
    <col min="1" max="1" width="30.5703125" style="49" customWidth="1"/>
    <col min="2" max="2" width="13.140625" style="82" customWidth="1"/>
    <col min="3" max="4" width="11.140625" style="82" customWidth="1"/>
    <col min="5" max="5" width="13.28515625" style="209" hidden="1" customWidth="1"/>
    <col min="6" max="6" width="17.28515625" style="82" customWidth="1"/>
    <col min="7" max="7" width="17" style="53" customWidth="1"/>
    <col min="8" max="8" width="19.42578125" style="53" customWidth="1"/>
    <col min="9" max="9" width="15.7109375" style="53" customWidth="1"/>
    <col min="10" max="10" width="17.42578125" style="53" customWidth="1"/>
    <col min="11" max="11" width="15.7109375" style="53" customWidth="1"/>
    <col min="12" max="12" width="18.5703125" style="53" customWidth="1"/>
    <col min="13" max="13" width="17.85546875" style="53" customWidth="1"/>
    <col min="14" max="14" width="18.5703125" style="53" customWidth="1"/>
    <col min="15" max="15" width="15.42578125" style="49" customWidth="1"/>
    <col min="16" max="16" width="18.7109375" style="49" customWidth="1"/>
    <col min="17" max="17" width="21" style="49" customWidth="1"/>
    <col min="18" max="18" width="1.5703125" style="49" customWidth="1"/>
    <col min="19" max="19" width="15.85546875" style="49" bestFit="1" customWidth="1"/>
    <col min="20" max="20" width="13.85546875" style="49" customWidth="1"/>
    <col min="21" max="21" width="15.7109375" style="49" bestFit="1" customWidth="1"/>
    <col min="22" max="22" width="16.7109375" style="49" bestFit="1" customWidth="1"/>
    <col min="23" max="23" width="16.42578125" style="49" customWidth="1"/>
    <col min="24" max="24" width="15.140625" style="49" customWidth="1"/>
    <col min="25" max="27" width="9.140625" style="49"/>
    <col min="28" max="28" width="14.5703125" style="49" bestFit="1" customWidth="1"/>
    <col min="29" max="30" width="9.140625" style="49"/>
    <col min="31" max="31" width="14.5703125" style="49" bestFit="1" customWidth="1"/>
    <col min="32" max="16384" width="9.140625" style="49"/>
  </cols>
  <sheetData>
    <row r="1" spans="1:25" ht="18.75" customHeight="1">
      <c r="A1" s="1" t="s">
        <v>274</v>
      </c>
      <c r="B1" s="48"/>
      <c r="C1" s="48"/>
      <c r="D1" s="43"/>
      <c r="E1" s="173"/>
      <c r="F1" s="43"/>
      <c r="O1" s="43"/>
      <c r="P1" s="43"/>
      <c r="Q1" s="43"/>
    </row>
    <row r="2" spans="1:25" ht="12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81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 ht="12.75" customHeight="1">
      <c r="A4" s="50"/>
      <c r="B4" s="51"/>
      <c r="C4" s="51"/>
      <c r="D4" s="52"/>
      <c r="E4" s="203"/>
      <c r="F4" s="52"/>
      <c r="O4" s="43"/>
      <c r="P4" s="43"/>
      <c r="Q4" s="43"/>
    </row>
    <row r="5" spans="1:25" ht="12.75" customHeight="1">
      <c r="A5" s="54" t="s">
        <v>10</v>
      </c>
      <c r="B5" s="51"/>
      <c r="C5" s="51"/>
      <c r="D5" s="52"/>
      <c r="E5" s="203"/>
      <c r="F5" s="52"/>
      <c r="O5" s="43"/>
      <c r="P5" s="43"/>
      <c r="Q5" s="43"/>
      <c r="X5" s="53"/>
    </row>
    <row r="6" spans="1:25" ht="12.75" customHeight="1">
      <c r="A6" s="50"/>
      <c r="B6" s="51"/>
      <c r="C6" s="51"/>
      <c r="D6" s="52"/>
      <c r="E6" s="203"/>
      <c r="F6" s="52"/>
      <c r="O6" s="43"/>
      <c r="P6" s="43"/>
      <c r="Q6" s="43"/>
    </row>
    <row r="7" spans="1:25" ht="12.75" customHeight="1">
      <c r="A7" s="47" t="str">
        <f>A17</f>
        <v>STATE OF NEVADA</v>
      </c>
      <c r="B7" s="48">
        <f t="shared" ref="B7:Q7" si="0">B26</f>
        <v>0.17</v>
      </c>
      <c r="C7" s="48">
        <f t="shared" si="0"/>
        <v>0</v>
      </c>
      <c r="D7" s="43">
        <f t="shared" si="0"/>
        <v>12371</v>
      </c>
      <c r="E7" s="173"/>
      <c r="F7" s="43">
        <f t="shared" si="0"/>
        <v>1251367410.7299998</v>
      </c>
      <c r="G7" s="53">
        <f t="shared" si="0"/>
        <v>133593.31299999999</v>
      </c>
      <c r="H7" s="53">
        <f t="shared" si="0"/>
        <v>2013829.2535000001</v>
      </c>
      <c r="I7" s="53">
        <f t="shared" si="0"/>
        <v>0</v>
      </c>
      <c r="J7" s="53">
        <f t="shared" si="0"/>
        <v>19918.61</v>
      </c>
      <c r="K7" s="53">
        <f t="shared" si="0"/>
        <v>34.22</v>
      </c>
      <c r="L7" s="53">
        <f t="shared" si="0"/>
        <v>2127538.1765000005</v>
      </c>
      <c r="M7" s="53">
        <f t="shared" si="0"/>
        <v>238700.43</v>
      </c>
      <c r="N7" s="53">
        <f t="shared" si="0"/>
        <v>1888837.7465000001</v>
      </c>
      <c r="O7" s="53">
        <f t="shared" si="0"/>
        <v>0</v>
      </c>
      <c r="P7" s="53">
        <f>P26</f>
        <v>5627.89</v>
      </c>
      <c r="Q7" s="53">
        <f t="shared" si="0"/>
        <v>1883209.8565000002</v>
      </c>
      <c r="W7" s="174" t="s">
        <v>15</v>
      </c>
      <c r="X7" s="284">
        <f>Q19+Q44+Q63+Q75+Q89+Q101+Q113</f>
        <v>24028992.199999999</v>
      </c>
      <c r="Y7" s="390" t="s">
        <v>461</v>
      </c>
    </row>
    <row r="8" spans="1:25" ht="12.75" customHeight="1">
      <c r="A8" s="47" t="str">
        <f>A29</f>
        <v>GENERAL COUNTY</v>
      </c>
      <c r="B8" s="48">
        <f t="shared" ref="B8:Q8" si="1">B51</f>
        <v>1.2829000000000002</v>
      </c>
      <c r="C8" s="48">
        <f t="shared" si="1"/>
        <v>0.03</v>
      </c>
      <c r="D8" s="43">
        <f t="shared" si="1"/>
        <v>12371</v>
      </c>
      <c r="E8" s="173"/>
      <c r="F8" s="43">
        <f t="shared" si="1"/>
        <v>1251367710.2545145</v>
      </c>
      <c r="G8" s="53">
        <f t="shared" si="1"/>
        <v>998681.04835264571</v>
      </c>
      <c r="H8" s="53">
        <f t="shared" si="1"/>
        <v>14842192.992194999</v>
      </c>
      <c r="I8" s="53">
        <f t="shared" si="1"/>
        <v>364782.89335735445</v>
      </c>
      <c r="J8" s="53">
        <f t="shared" si="1"/>
        <v>150315.38999999998</v>
      </c>
      <c r="K8" s="53">
        <f t="shared" si="1"/>
        <v>258.13000000000005</v>
      </c>
      <c r="L8" s="53">
        <f t="shared" si="1"/>
        <v>16055599.673905002</v>
      </c>
      <c r="M8" s="53">
        <f t="shared" si="1"/>
        <v>1888897.4500000002</v>
      </c>
      <c r="N8" s="53">
        <f t="shared" si="1"/>
        <v>14166702.223905001</v>
      </c>
      <c r="O8" s="53">
        <f t="shared" si="1"/>
        <v>0</v>
      </c>
      <c r="P8" s="53">
        <f>P51</f>
        <v>42470.69</v>
      </c>
      <c r="Q8" s="53">
        <f t="shared" si="1"/>
        <v>14124231.533905001</v>
      </c>
      <c r="W8" s="171" t="s">
        <v>16</v>
      </c>
      <c r="X8" s="284">
        <f>Q20+Q45+Q64+Q76+Q90+Q102+Q114</f>
        <v>920454.90715400013</v>
      </c>
    </row>
    <row r="9" spans="1:25" ht="12.75" customHeight="1">
      <c r="A9" s="47" t="str">
        <f>A61</f>
        <v>SCHOOL DISTRICT</v>
      </c>
      <c r="B9" s="48">
        <f t="shared" ref="B9:Q9" si="2">B84</f>
        <v>1.3</v>
      </c>
      <c r="C9" s="48">
        <f t="shared" si="2"/>
        <v>0</v>
      </c>
      <c r="D9" s="43">
        <f t="shared" si="2"/>
        <v>12371</v>
      </c>
      <c r="E9" s="173"/>
      <c r="F9" s="43">
        <f t="shared" si="2"/>
        <v>1251367312.0633333</v>
      </c>
      <c r="G9" s="53">
        <f t="shared" si="2"/>
        <v>1021596.65</v>
      </c>
      <c r="H9" s="53">
        <f t="shared" si="2"/>
        <v>15399877.824999999</v>
      </c>
      <c r="I9" s="53">
        <f t="shared" si="2"/>
        <v>0</v>
      </c>
      <c r="J9" s="53">
        <f t="shared" si="2"/>
        <v>152319.21</v>
      </c>
      <c r="K9" s="53">
        <f t="shared" si="2"/>
        <v>261.61</v>
      </c>
      <c r="L9" s="53">
        <f t="shared" si="2"/>
        <v>16269416.875</v>
      </c>
      <c r="M9" s="53">
        <f t="shared" si="2"/>
        <v>1825357.4300000002</v>
      </c>
      <c r="N9" s="53">
        <f t="shared" si="2"/>
        <v>14444059.445</v>
      </c>
      <c r="O9" s="53">
        <f t="shared" si="2"/>
        <v>0</v>
      </c>
      <c r="P9" s="53">
        <f>P84</f>
        <v>43036.79</v>
      </c>
      <c r="Q9" s="53">
        <f t="shared" si="2"/>
        <v>14401022.654999999</v>
      </c>
      <c r="W9" s="171" t="s">
        <v>17</v>
      </c>
      <c r="X9" s="284">
        <f>N21+Q46+Q65+Q77+Q91+Q103+Q115</f>
        <v>5952164.8196220007</v>
      </c>
    </row>
    <row r="10" spans="1:25" ht="12.75" customHeight="1">
      <c r="A10" s="47" t="str">
        <f>A87</f>
        <v>CITY OF FALLON</v>
      </c>
      <c r="B10" s="48">
        <f t="shared" ref="B10:Q10" si="3">B96</f>
        <v>0.79710000000000003</v>
      </c>
      <c r="C10" s="48">
        <f t="shared" si="3"/>
        <v>0</v>
      </c>
      <c r="D10" s="43">
        <f t="shared" si="3"/>
        <v>3678</v>
      </c>
      <c r="E10" s="173"/>
      <c r="F10" s="43">
        <f t="shared" si="3"/>
        <v>322605491.6515882</v>
      </c>
      <c r="G10" s="53">
        <f t="shared" si="3"/>
        <v>217031.58904400002</v>
      </c>
      <c r="H10" s="53">
        <f t="shared" si="3"/>
        <v>2501116.3720269999</v>
      </c>
      <c r="I10" s="53">
        <f t="shared" si="3"/>
        <v>0</v>
      </c>
      <c r="J10" s="53">
        <f t="shared" si="3"/>
        <v>27119.32</v>
      </c>
      <c r="K10" s="53">
        <f t="shared" si="3"/>
        <v>125.62</v>
      </c>
      <c r="L10" s="53">
        <f t="shared" si="3"/>
        <v>2691154.2610710002</v>
      </c>
      <c r="M10" s="53">
        <f t="shared" si="3"/>
        <v>276755.56000000006</v>
      </c>
      <c r="N10" s="53">
        <f t="shared" si="3"/>
        <v>2414398.7010710007</v>
      </c>
      <c r="O10" s="53">
        <f t="shared" si="3"/>
        <v>0</v>
      </c>
      <c r="P10" s="53">
        <f>P96</f>
        <v>0</v>
      </c>
      <c r="Q10" s="53">
        <f t="shared" si="3"/>
        <v>2414398.7010710007</v>
      </c>
      <c r="W10" s="171" t="s">
        <v>18</v>
      </c>
      <c r="X10" s="284"/>
    </row>
    <row r="11" spans="1:25" ht="12.75" customHeight="1">
      <c r="A11" s="49" t="str">
        <f>A99</f>
        <v>CHURCHILL CO. MOSQUITO DISTRICT</v>
      </c>
      <c r="B11" s="48">
        <f t="shared" ref="B11:Q11" si="4">B108</f>
        <v>0.08</v>
      </c>
      <c r="C11" s="48">
        <f t="shared" si="4"/>
        <v>0</v>
      </c>
      <c r="D11" s="43">
        <f t="shared" si="4"/>
        <v>12371</v>
      </c>
      <c r="E11" s="173"/>
      <c r="F11" s="43">
        <f t="shared" si="4"/>
        <v>1253777665.0999999</v>
      </c>
      <c r="G11" s="53">
        <f t="shared" si="4"/>
        <v>62867.441999999995</v>
      </c>
      <c r="H11" s="53">
        <f t="shared" si="4"/>
        <v>947683.924</v>
      </c>
      <c r="I11" s="53">
        <f t="shared" si="4"/>
        <v>0</v>
      </c>
      <c r="J11" s="53">
        <f t="shared" si="4"/>
        <v>9373.59</v>
      </c>
      <c r="K11" s="53">
        <f t="shared" si="4"/>
        <v>16.100000000000001</v>
      </c>
      <c r="L11" s="53">
        <f t="shared" si="4"/>
        <v>1001193.8759999999</v>
      </c>
      <c r="M11" s="53">
        <f t="shared" si="4"/>
        <v>112328.6</v>
      </c>
      <c r="N11" s="53">
        <f t="shared" si="4"/>
        <v>888865.27599999995</v>
      </c>
      <c r="O11" s="53">
        <f t="shared" si="4"/>
        <v>0</v>
      </c>
      <c r="P11" s="53">
        <f>P108</f>
        <v>2648.42</v>
      </c>
      <c r="Q11" s="53">
        <f t="shared" si="4"/>
        <v>886216.85599999991</v>
      </c>
      <c r="W11" s="285" t="s">
        <v>19</v>
      </c>
      <c r="X11" s="284">
        <f>Q23+Q48+Q67+Q79+Q93+Q105+Q117</f>
        <v>2795626.2600000007</v>
      </c>
      <c r="Y11" s="390" t="s">
        <v>461</v>
      </c>
    </row>
    <row r="12" spans="1:25" ht="12.75" customHeight="1">
      <c r="A12" s="47" t="str">
        <f>A111</f>
        <v>CARSON WATER SUBCONSERVANCY DISTRICT</v>
      </c>
      <c r="B12" s="48">
        <f t="shared" ref="B12:Q12" si="5">B120</f>
        <v>0.03</v>
      </c>
      <c r="C12" s="48">
        <f t="shared" si="5"/>
        <v>0</v>
      </c>
      <c r="D12" s="43">
        <f t="shared" si="5"/>
        <v>11877</v>
      </c>
      <c r="E12" s="173"/>
      <c r="F12" s="43">
        <f t="shared" si="5"/>
        <v>1177335793.3166666</v>
      </c>
      <c r="G12" s="53">
        <f t="shared" si="5"/>
        <v>21203.007899999997</v>
      </c>
      <c r="H12" s="53">
        <f t="shared" si="5"/>
        <v>334821.40639999998</v>
      </c>
      <c r="I12" s="53">
        <f t="shared" si="5"/>
        <v>0</v>
      </c>
      <c r="J12" s="53">
        <f t="shared" si="5"/>
        <v>3515.15</v>
      </c>
      <c r="K12" s="53">
        <f t="shared" si="5"/>
        <v>5.78</v>
      </c>
      <c r="L12" s="53">
        <f t="shared" si="5"/>
        <v>352515.04430000007</v>
      </c>
      <c r="M12" s="53">
        <f t="shared" si="5"/>
        <v>41581.320000000007</v>
      </c>
      <c r="N12" s="53">
        <f t="shared" si="5"/>
        <v>310933.72430000006</v>
      </c>
      <c r="O12" s="53">
        <f t="shared" si="5"/>
        <v>0</v>
      </c>
      <c r="P12" s="53">
        <f>P120</f>
        <v>993.16</v>
      </c>
      <c r="Q12" s="53">
        <f t="shared" si="5"/>
        <v>309940.56430000003</v>
      </c>
      <c r="W12" s="285" t="s">
        <v>20</v>
      </c>
      <c r="X12" s="284">
        <f>Q24+Q49+Q68+Q80+Q94+Q106+Q118</f>
        <v>321781.98</v>
      </c>
      <c r="Y12" s="390"/>
    </row>
    <row r="13" spans="1:25" ht="12.75" customHeight="1">
      <c r="A13" s="57"/>
      <c r="B13" s="51"/>
      <c r="C13" s="51"/>
      <c r="D13" s="52"/>
      <c r="E13" s="203"/>
      <c r="F13" s="52"/>
      <c r="O13" s="53"/>
      <c r="P13" s="53"/>
      <c r="Q13" s="53"/>
      <c r="W13" s="174"/>
      <c r="X13" s="284"/>
    </row>
    <row r="14" spans="1:25" ht="12.75" customHeight="1" thickBot="1">
      <c r="A14" s="57" t="s">
        <v>14</v>
      </c>
      <c r="B14" s="51"/>
      <c r="C14" s="51"/>
      <c r="D14" s="69">
        <f>D7</f>
        <v>12371</v>
      </c>
      <c r="E14" s="204"/>
      <c r="F14" s="69">
        <f>F7</f>
        <v>1251367410.7299998</v>
      </c>
      <c r="G14" s="70">
        <f t="shared" ref="G14:Q14" si="6">SUM(G7:G12)</f>
        <v>2454973.0502966456</v>
      </c>
      <c r="H14" s="70">
        <f t="shared" si="6"/>
        <v>36039521.773122005</v>
      </c>
      <c r="I14" s="70">
        <f t="shared" si="6"/>
        <v>364782.89335735445</v>
      </c>
      <c r="J14" s="70">
        <f t="shared" si="6"/>
        <v>362561.27</v>
      </c>
      <c r="K14" s="70">
        <f t="shared" si="6"/>
        <v>701.46</v>
      </c>
      <c r="L14" s="70">
        <f t="shared" si="6"/>
        <v>38497417.906776004</v>
      </c>
      <c r="M14" s="70">
        <f t="shared" si="6"/>
        <v>4383620.790000001</v>
      </c>
      <c r="N14" s="70">
        <f t="shared" si="6"/>
        <v>34113797.116775997</v>
      </c>
      <c r="O14" s="70">
        <f t="shared" si="6"/>
        <v>0</v>
      </c>
      <c r="P14" s="70">
        <f t="shared" si="6"/>
        <v>94776.95</v>
      </c>
      <c r="Q14" s="70">
        <f t="shared" si="6"/>
        <v>34019020.166776001</v>
      </c>
      <c r="W14" s="174"/>
      <c r="X14" s="284">
        <f>Q26+Q51+Q70+Q82+Q96+Q108+Q120</f>
        <v>34019020.166776001</v>
      </c>
    </row>
    <row r="15" spans="1:25" ht="12.75" customHeight="1" thickBot="1">
      <c r="A15" s="60"/>
      <c r="B15" s="61"/>
      <c r="C15" s="61"/>
      <c r="D15" s="62"/>
      <c r="E15" s="205"/>
      <c r="F15" s="62"/>
      <c r="G15" s="63"/>
      <c r="H15" s="63"/>
      <c r="I15" s="63"/>
      <c r="J15" s="63"/>
      <c r="K15" s="63"/>
      <c r="L15" s="279" t="s">
        <v>388</v>
      </c>
      <c r="M15" s="280">
        <f>M14/L14</f>
        <v>0.11386791707992529</v>
      </c>
      <c r="N15" s="63"/>
      <c r="O15" s="62"/>
      <c r="P15" s="62"/>
      <c r="Q15" s="62"/>
    </row>
    <row r="16" spans="1:25" ht="12.75" customHeight="1">
      <c r="A16" s="50"/>
      <c r="B16" s="51"/>
      <c r="C16" s="51"/>
      <c r="D16" s="52"/>
      <c r="E16" s="203"/>
      <c r="F16" s="52"/>
      <c r="O16" s="43"/>
      <c r="P16" s="43"/>
      <c r="Q16" s="43"/>
    </row>
    <row r="17" spans="1:22" ht="12.75" customHeight="1">
      <c r="A17" s="54" t="s">
        <v>11</v>
      </c>
      <c r="B17" s="51"/>
      <c r="C17" s="51"/>
      <c r="D17" s="52"/>
      <c r="E17" s="203"/>
      <c r="F17" s="52"/>
      <c r="G17" s="64">
        <f>G19/B19*100</f>
        <v>14009400</v>
      </c>
      <c r="O17" s="43"/>
      <c r="P17" s="43"/>
      <c r="Q17" s="43"/>
    </row>
    <row r="18" spans="1:22" ht="12.75" customHeight="1">
      <c r="A18" s="47"/>
      <c r="B18" s="48"/>
      <c r="C18" s="48"/>
      <c r="D18" s="43"/>
      <c r="E18" s="329">
        <v>45601490</v>
      </c>
      <c r="F18" s="43"/>
      <c r="O18" s="43"/>
      <c r="P18" s="43"/>
      <c r="Q18" s="43"/>
    </row>
    <row r="19" spans="1:22" ht="12.75" customHeight="1">
      <c r="A19" s="49" t="s">
        <v>15</v>
      </c>
      <c r="B19" s="48">
        <v>0.17</v>
      </c>
      <c r="C19" s="48">
        <v>0</v>
      </c>
      <c r="D19" s="43">
        <v>12371</v>
      </c>
      <c r="E19" s="173">
        <f>+G19/B19*100</f>
        <v>14009400</v>
      </c>
      <c r="F19" s="43">
        <v>906434426</v>
      </c>
      <c r="G19" s="53">
        <v>23815.98</v>
      </c>
      <c r="H19" s="53">
        <v>1533120.23</v>
      </c>
      <c r="I19" s="53">
        <v>0</v>
      </c>
      <c r="J19" s="53">
        <v>15818.14</v>
      </c>
      <c r="K19" s="53">
        <v>34.22</v>
      </c>
      <c r="L19" s="53">
        <f>G19+H19+I19-J19+K19</f>
        <v>1541152.29</v>
      </c>
      <c r="M19" s="53">
        <v>230646.33</v>
      </c>
      <c r="N19" s="53">
        <f>L19-M19</f>
        <v>1310505.96</v>
      </c>
      <c r="O19" s="53">
        <v>0</v>
      </c>
      <c r="P19" s="53">
        <v>0</v>
      </c>
      <c r="Q19" s="53">
        <f>N19-O19-P19</f>
        <v>1310505.96</v>
      </c>
    </row>
    <row r="20" spans="1:22" ht="12.75" customHeight="1">
      <c r="A20" s="47" t="s">
        <v>16</v>
      </c>
      <c r="B20" s="48">
        <f>B$19</f>
        <v>0.17</v>
      </c>
      <c r="C20" s="48">
        <f>C$19</f>
        <v>0</v>
      </c>
      <c r="D20" s="43"/>
      <c r="E20" s="173">
        <v>13403849</v>
      </c>
      <c r="F20" s="65">
        <f>IF(E18&gt;E19,E18-E19,0)</f>
        <v>31592090</v>
      </c>
      <c r="G20" s="53">
        <f>F20*(B20-C20)/100</f>
        <v>53706.553000000007</v>
      </c>
      <c r="I20" s="53">
        <f>F20*C20/100</f>
        <v>0</v>
      </c>
      <c r="L20" s="53">
        <f>G20+H20+I20-J20+K20</f>
        <v>53706.553000000007</v>
      </c>
      <c r="N20" s="53">
        <f>L20-M20</f>
        <v>53706.553000000007</v>
      </c>
      <c r="O20" s="53">
        <v>0</v>
      </c>
      <c r="P20" s="53">
        <v>0</v>
      </c>
      <c r="Q20" s="53">
        <f>N20-O20-P20</f>
        <v>53706.553000000007</v>
      </c>
    </row>
    <row r="21" spans="1:22" ht="12.75" customHeight="1">
      <c r="A21" s="47" t="s">
        <v>17</v>
      </c>
      <c r="B21" s="48">
        <f t="shared" ref="B21:C24" si="7">B$19</f>
        <v>0.17</v>
      </c>
      <c r="C21" s="48">
        <f t="shared" si="7"/>
        <v>0</v>
      </c>
      <c r="D21" s="43"/>
      <c r="E21" s="173"/>
      <c r="F21" s="66">
        <v>203953955</v>
      </c>
      <c r="H21" s="53">
        <f>F21*(B21-C21)/100</f>
        <v>346721.72350000002</v>
      </c>
      <c r="I21" s="53">
        <v>0</v>
      </c>
      <c r="L21" s="53">
        <f>G21+H21+I21-J21+K21</f>
        <v>346721.72350000002</v>
      </c>
      <c r="N21" s="53">
        <f>L21-M21</f>
        <v>346721.72350000002</v>
      </c>
      <c r="O21" s="53">
        <v>0</v>
      </c>
      <c r="P21" s="53">
        <v>0</v>
      </c>
      <c r="Q21" s="53">
        <f>N21-O21-P21</f>
        <v>346721.72350000002</v>
      </c>
    </row>
    <row r="22" spans="1:22" ht="12.75" customHeight="1">
      <c r="A22" s="47" t="s">
        <v>18</v>
      </c>
      <c r="B22" s="48"/>
      <c r="C22" s="48"/>
      <c r="D22" s="43"/>
      <c r="E22" s="173"/>
      <c r="F22" s="43"/>
      <c r="O22" s="53"/>
      <c r="P22" s="53"/>
      <c r="Q22" s="53"/>
    </row>
    <row r="23" spans="1:22" ht="12.75" customHeight="1">
      <c r="A23" s="67" t="s">
        <v>19</v>
      </c>
      <c r="B23" s="48">
        <f t="shared" si="7"/>
        <v>0.17</v>
      </c>
      <c r="C23" s="48">
        <f t="shared" si="7"/>
        <v>0</v>
      </c>
      <c r="D23" s="43"/>
      <c r="E23" s="173"/>
      <c r="F23" s="43">
        <v>98241595.120000005</v>
      </c>
      <c r="G23" s="53">
        <v>37534.51</v>
      </c>
      <c r="H23" s="488">
        <v>133576.70000000001</v>
      </c>
      <c r="I23" s="53">
        <v>0</v>
      </c>
      <c r="J23" s="53">
        <v>4100.47</v>
      </c>
      <c r="K23" s="53">
        <v>0</v>
      </c>
      <c r="L23" s="53">
        <f>G23+H23+I23-J23+K23</f>
        <v>167010.74000000002</v>
      </c>
      <c r="M23" s="53">
        <v>8053.26</v>
      </c>
      <c r="N23" s="53">
        <f>L23-M23</f>
        <v>158957.48000000001</v>
      </c>
      <c r="O23" s="53"/>
      <c r="P23" s="53">
        <v>5627.89</v>
      </c>
      <c r="Q23" s="552">
        <f>N23-O23-P23</f>
        <v>153329.59</v>
      </c>
    </row>
    <row r="24" spans="1:22" ht="12.75" customHeight="1">
      <c r="A24" s="67" t="s">
        <v>20</v>
      </c>
      <c r="B24" s="48">
        <f t="shared" si="7"/>
        <v>0.17</v>
      </c>
      <c r="C24" s="48">
        <f t="shared" si="7"/>
        <v>0</v>
      </c>
      <c r="D24" s="43"/>
      <c r="E24" s="173"/>
      <c r="F24" s="43">
        <v>11145344.609999999</v>
      </c>
      <c r="G24" s="53">
        <v>18536.27</v>
      </c>
      <c r="H24" s="53">
        <v>410.6</v>
      </c>
      <c r="I24" s="53">
        <v>0</v>
      </c>
      <c r="J24" s="53">
        <v>0</v>
      </c>
      <c r="K24" s="53">
        <v>0</v>
      </c>
      <c r="L24" s="53">
        <f>G24+H24+I24-J24+K24</f>
        <v>18946.87</v>
      </c>
      <c r="M24" s="53">
        <v>0.84</v>
      </c>
      <c r="N24" s="53">
        <f>L24-M24</f>
        <v>18946.03</v>
      </c>
      <c r="O24" s="53">
        <v>0</v>
      </c>
      <c r="P24" s="53">
        <v>0</v>
      </c>
      <c r="Q24" s="53">
        <f>N24-O24-P24</f>
        <v>18946.03</v>
      </c>
    </row>
    <row r="25" spans="1:22" ht="12.75" customHeight="1">
      <c r="A25" s="47"/>
      <c r="B25" s="48"/>
      <c r="C25" s="48"/>
      <c r="D25" s="43"/>
      <c r="E25" s="173"/>
      <c r="F25" s="43"/>
      <c r="O25" s="53"/>
      <c r="P25" s="53"/>
      <c r="Q25" s="53"/>
    </row>
    <row r="26" spans="1:22" s="50" customFormat="1" ht="12.75" customHeight="1" thickBot="1">
      <c r="A26" s="60" t="str">
        <f>"TOTAL " &amp; A17</f>
        <v>TOTAL STATE OF NEVADA</v>
      </c>
      <c r="B26" s="68">
        <f>B19</f>
        <v>0.17</v>
      </c>
      <c r="C26" s="68">
        <f>C19</f>
        <v>0</v>
      </c>
      <c r="D26" s="69">
        <f t="shared" ref="D26:Q26" si="8">SUM(D19:D21,D23:D24)</f>
        <v>12371</v>
      </c>
      <c r="E26" s="204"/>
      <c r="F26" s="69">
        <f t="shared" si="8"/>
        <v>1251367410.7299998</v>
      </c>
      <c r="G26" s="70">
        <f t="shared" si="8"/>
        <v>133593.31299999999</v>
      </c>
      <c r="H26" s="70">
        <f t="shared" si="8"/>
        <v>2013829.2535000001</v>
      </c>
      <c r="I26" s="70">
        <f t="shared" si="8"/>
        <v>0</v>
      </c>
      <c r="J26" s="70">
        <f t="shared" si="8"/>
        <v>19918.61</v>
      </c>
      <c r="K26" s="70">
        <f t="shared" si="8"/>
        <v>34.22</v>
      </c>
      <c r="L26" s="70">
        <f t="shared" si="8"/>
        <v>2127538.1765000005</v>
      </c>
      <c r="M26" s="70">
        <f t="shared" si="8"/>
        <v>238700.43</v>
      </c>
      <c r="N26" s="70">
        <f>SUM(N19:N21,N23:N24)</f>
        <v>1888837.7465000001</v>
      </c>
      <c r="O26" s="70">
        <f t="shared" si="8"/>
        <v>0</v>
      </c>
      <c r="P26" s="70">
        <f t="shared" si="8"/>
        <v>5627.89</v>
      </c>
      <c r="Q26" s="70">
        <f t="shared" si="8"/>
        <v>1883209.8565000002</v>
      </c>
    </row>
    <row r="27" spans="1:22" ht="12.75" customHeight="1">
      <c r="A27" s="150" t="s">
        <v>355</v>
      </c>
      <c r="B27" s="48"/>
      <c r="C27" s="48"/>
      <c r="D27" s="43"/>
      <c r="E27" s="173"/>
      <c r="F27" s="64">
        <v>1251410848</v>
      </c>
      <c r="O27" s="53"/>
      <c r="P27" s="53"/>
      <c r="Q27" s="53"/>
    </row>
    <row r="28" spans="1:22" ht="12.75" customHeight="1">
      <c r="A28" s="151" t="s">
        <v>30</v>
      </c>
      <c r="B28" s="51"/>
      <c r="C28" s="51"/>
      <c r="D28" s="52"/>
      <c r="E28" s="203"/>
      <c r="F28" s="152">
        <f>F26-F27</f>
        <v>-43437.270000219345</v>
      </c>
      <c r="O28" s="53"/>
      <c r="P28" s="53"/>
      <c r="Q28" s="53"/>
      <c r="T28" s="266" t="s">
        <v>378</v>
      </c>
      <c r="U28" s="266" t="s">
        <v>384</v>
      </c>
      <c r="V28" s="266" t="s">
        <v>227</v>
      </c>
    </row>
    <row r="29" spans="1:22" ht="12.75" customHeight="1">
      <c r="A29" s="154" t="s">
        <v>12</v>
      </c>
      <c r="B29" s="48"/>
      <c r="C29" s="48"/>
      <c r="D29" s="43"/>
      <c r="E29" s="173"/>
      <c r="F29" s="53"/>
      <c r="G29" s="152"/>
      <c r="H29" s="96"/>
      <c r="O29" s="43"/>
      <c r="P29" s="43"/>
      <c r="Q29" s="43"/>
      <c r="T29" s="266" t="s">
        <v>379</v>
      </c>
      <c r="U29" s="266" t="s">
        <v>385</v>
      </c>
      <c r="V29" s="266" t="s">
        <v>382</v>
      </c>
    </row>
    <row r="30" spans="1:22" ht="12.75" customHeight="1">
      <c r="A30" s="47"/>
      <c r="B30" s="48"/>
      <c r="C30" s="48"/>
      <c r="D30" s="43"/>
      <c r="E30" s="173"/>
      <c r="F30" s="463">
        <f>(G44+H44+I44)/B44*100</f>
        <v>915859684.30898726</v>
      </c>
      <c r="G30" s="13"/>
      <c r="H30" s="463">
        <f>F30-J30</f>
        <v>906554887.36456442</v>
      </c>
      <c r="I30" s="53">
        <f>F30*C30/100</f>
        <v>0</v>
      </c>
      <c r="J30" s="463">
        <f>J44/B44*100</f>
        <v>9304796.9444227908</v>
      </c>
      <c r="O30" s="43"/>
      <c r="P30" s="43"/>
      <c r="Q30" s="43"/>
      <c r="T30" s="266"/>
      <c r="U30" s="266" t="s">
        <v>381</v>
      </c>
      <c r="V30" s="266" t="s">
        <v>383</v>
      </c>
    </row>
    <row r="31" spans="1:22" ht="12.75" customHeight="1">
      <c r="A31" s="49" t="s">
        <v>15</v>
      </c>
      <c r="B31" s="48"/>
      <c r="C31" s="48"/>
      <c r="D31" s="43"/>
      <c r="E31" s="173"/>
      <c r="F31" s="43"/>
      <c r="O31" s="43"/>
      <c r="P31" s="43"/>
      <c r="Q31" s="43"/>
      <c r="T31" s="266"/>
      <c r="U31" s="266"/>
      <c r="V31" s="266"/>
    </row>
    <row r="32" spans="1:22" ht="12.75" customHeight="1">
      <c r="A32" s="103" t="s">
        <v>85</v>
      </c>
      <c r="B32" s="48">
        <v>0.84599999999999997</v>
      </c>
      <c r="C32" s="48">
        <v>0</v>
      </c>
      <c r="D32" s="336">
        <v>12371</v>
      </c>
      <c r="E32" s="173"/>
      <c r="F32" s="43">
        <v>906434426</v>
      </c>
      <c r="G32" s="53">
        <v>118515.4</v>
      </c>
      <c r="H32" s="53">
        <v>7629486.5599999996</v>
      </c>
      <c r="I32" s="53">
        <v>0</v>
      </c>
      <c r="J32" s="53">
        <v>78718.19</v>
      </c>
      <c r="K32" s="53">
        <v>170.21</v>
      </c>
      <c r="L32" s="53">
        <f>G32+H32+I32-J32+K32</f>
        <v>7669453.9799999995</v>
      </c>
      <c r="M32" s="53">
        <v>1150824.69</v>
      </c>
      <c r="N32" s="53">
        <f>L32-M32</f>
        <v>6518629.2899999991</v>
      </c>
      <c r="O32" s="43">
        <v>0</v>
      </c>
      <c r="P32" s="43">
        <v>0</v>
      </c>
      <c r="Q32" s="180">
        <f>N32-O32-P32</f>
        <v>6518629.2899999991</v>
      </c>
      <c r="T32" s="267">
        <f t="shared" ref="T32:T42" si="9">B32/$B$44</f>
        <v>0.65944344843713454</v>
      </c>
      <c r="U32" s="153">
        <f t="shared" ref="U32:U42" si="10">$T$49*T32</f>
        <v>2850984.7948894138</v>
      </c>
      <c r="V32" s="153">
        <f>Q32+U32</f>
        <v>9369614.0848894119</v>
      </c>
    </row>
    <row r="33" spans="1:22" ht="12.75" customHeight="1">
      <c r="A33" s="103" t="s">
        <v>275</v>
      </c>
      <c r="B33" s="48">
        <v>6.5000000000000002E-2</v>
      </c>
      <c r="C33" s="48">
        <v>0</v>
      </c>
      <c r="D33" s="336">
        <v>12371</v>
      </c>
      <c r="E33" s="173"/>
      <c r="F33" s="43">
        <v>906434426</v>
      </c>
      <c r="G33" s="53">
        <v>9105.99</v>
      </c>
      <c r="H33" s="53">
        <v>586234.18999999994</v>
      </c>
      <c r="I33" s="53">
        <v>0</v>
      </c>
      <c r="J33" s="53">
        <v>6048.54</v>
      </c>
      <c r="K33" s="53">
        <v>13.08</v>
      </c>
      <c r="L33" s="53">
        <f t="shared" ref="L33:L41" si="11">G33+H33+I33-J33+K33</f>
        <v>589304.71999999986</v>
      </c>
      <c r="M33" s="53">
        <v>112260.31</v>
      </c>
      <c r="N33" s="53">
        <f t="shared" ref="N33:N42" si="12">L33-M33</f>
        <v>477044.40999999986</v>
      </c>
      <c r="O33" s="43">
        <v>0</v>
      </c>
      <c r="P33" s="43">
        <v>0</v>
      </c>
      <c r="Q33" s="180">
        <f t="shared" ref="Q33:Q42" si="13">N33-O33-P33</f>
        <v>477044.40999999986</v>
      </c>
      <c r="T33" s="267">
        <f t="shared" si="9"/>
        <v>5.0666458804271571E-2</v>
      </c>
      <c r="U33" s="153">
        <f t="shared" si="10"/>
        <v>219047.29511561693</v>
      </c>
      <c r="V33" s="153">
        <f t="shared" ref="V33:V42" si="14">Q33+U33</f>
        <v>696091.70511561679</v>
      </c>
    </row>
    <row r="34" spans="1:22" ht="12.75" customHeight="1">
      <c r="A34" s="103" t="s">
        <v>149</v>
      </c>
      <c r="B34" s="48">
        <v>0.02</v>
      </c>
      <c r="C34" s="48">
        <v>0</v>
      </c>
      <c r="D34" s="336">
        <v>12371</v>
      </c>
      <c r="E34" s="173"/>
      <c r="F34" s="43">
        <v>906434426</v>
      </c>
      <c r="G34" s="53">
        <v>2802.07</v>
      </c>
      <c r="H34" s="53">
        <v>180454.36</v>
      </c>
      <c r="I34" s="53">
        <v>0</v>
      </c>
      <c r="J34" s="53">
        <v>1860.88</v>
      </c>
      <c r="K34" s="53">
        <v>4.03</v>
      </c>
      <c r="L34" s="53">
        <f t="shared" si="11"/>
        <v>181399.58</v>
      </c>
      <c r="M34" s="53">
        <v>54393.8</v>
      </c>
      <c r="N34" s="53">
        <f t="shared" si="12"/>
        <v>127005.77999999998</v>
      </c>
      <c r="O34" s="43">
        <v>0</v>
      </c>
      <c r="P34" s="43">
        <v>0</v>
      </c>
      <c r="Q34" s="180">
        <f t="shared" si="13"/>
        <v>127005.77999999998</v>
      </c>
      <c r="T34" s="267">
        <f t="shared" si="9"/>
        <v>1.5589679632083559E-2</v>
      </c>
      <c r="U34" s="153">
        <f t="shared" si="10"/>
        <v>67399.16772788213</v>
      </c>
      <c r="V34" s="153">
        <f t="shared" si="14"/>
        <v>194404.94772788213</v>
      </c>
    </row>
    <row r="35" spans="1:22" ht="12.75" customHeight="1">
      <c r="A35" s="103" t="s">
        <v>276</v>
      </c>
      <c r="B35" s="48">
        <v>6.5000000000000002E-2</v>
      </c>
      <c r="C35" s="48">
        <v>0</v>
      </c>
      <c r="D35" s="336">
        <v>12371</v>
      </c>
      <c r="E35" s="173"/>
      <c r="F35" s="43">
        <v>906434426</v>
      </c>
      <c r="G35" s="53">
        <v>9105.99</v>
      </c>
      <c r="H35" s="53">
        <v>586260.72</v>
      </c>
      <c r="I35" s="53">
        <v>0</v>
      </c>
      <c r="J35" s="53">
        <v>6048.54</v>
      </c>
      <c r="K35" s="53">
        <v>13.08</v>
      </c>
      <c r="L35" s="53">
        <f t="shared" si="11"/>
        <v>589331.24999999988</v>
      </c>
      <c r="M35" s="53">
        <v>123229.34</v>
      </c>
      <c r="N35" s="53">
        <f t="shared" si="12"/>
        <v>466101.90999999992</v>
      </c>
      <c r="O35" s="43">
        <v>0</v>
      </c>
      <c r="P35" s="43">
        <v>0</v>
      </c>
      <c r="Q35" s="180">
        <f t="shared" si="13"/>
        <v>466101.90999999992</v>
      </c>
      <c r="T35" s="267">
        <f t="shared" si="9"/>
        <v>5.0666458804271571E-2</v>
      </c>
      <c r="U35" s="153">
        <f t="shared" si="10"/>
        <v>219047.29511561693</v>
      </c>
      <c r="V35" s="153">
        <f t="shared" si="14"/>
        <v>685149.20511561679</v>
      </c>
    </row>
    <row r="36" spans="1:22" ht="12.75" customHeight="1">
      <c r="A36" s="321" t="s">
        <v>431</v>
      </c>
      <c r="B36" s="48">
        <v>0.06</v>
      </c>
      <c r="C36" s="48">
        <v>0</v>
      </c>
      <c r="D36" s="336">
        <v>12371</v>
      </c>
      <c r="E36" s="173"/>
      <c r="F36" s="43">
        <v>906434426</v>
      </c>
      <c r="G36" s="53">
        <v>8405.68</v>
      </c>
      <c r="H36" s="53">
        <v>541209.11</v>
      </c>
      <c r="I36" s="53">
        <v>0</v>
      </c>
      <c r="J36" s="53">
        <v>5582.08</v>
      </c>
      <c r="K36" s="53">
        <v>12.08</v>
      </c>
      <c r="L36" s="53">
        <f t="shared" si="11"/>
        <v>544044.79</v>
      </c>
      <c r="M36" s="53">
        <v>121688.85</v>
      </c>
      <c r="N36" s="53">
        <f t="shared" si="12"/>
        <v>422355.94000000006</v>
      </c>
      <c r="O36" s="43">
        <v>0</v>
      </c>
      <c r="P36" s="43">
        <v>0</v>
      </c>
      <c r="Q36" s="180">
        <f t="shared" si="13"/>
        <v>422355.94000000006</v>
      </c>
      <c r="T36" s="267">
        <f t="shared" si="9"/>
        <v>4.6769038896250677E-2</v>
      </c>
      <c r="U36" s="153">
        <f t="shared" si="10"/>
        <v>202197.50318364639</v>
      </c>
      <c r="V36" s="153">
        <f>Q36+U36</f>
        <v>624553.44318364642</v>
      </c>
    </row>
    <row r="37" spans="1:22" ht="12.75" customHeight="1">
      <c r="A37" s="103" t="s">
        <v>277</v>
      </c>
      <c r="B37" s="48">
        <v>0.05</v>
      </c>
      <c r="C37" s="48">
        <v>0</v>
      </c>
      <c r="D37" s="336">
        <v>12371</v>
      </c>
      <c r="E37" s="173"/>
      <c r="F37" s="43">
        <v>906434426</v>
      </c>
      <c r="G37" s="53">
        <v>7004.74</v>
      </c>
      <c r="H37" s="53">
        <v>450920.47</v>
      </c>
      <c r="I37" s="53">
        <v>0</v>
      </c>
      <c r="J37" s="53">
        <v>4652.4399999999996</v>
      </c>
      <c r="K37" s="53">
        <v>10.06</v>
      </c>
      <c r="L37" s="53">
        <f t="shared" si="11"/>
        <v>453282.82999999996</v>
      </c>
      <c r="M37" s="53">
        <v>67837.05</v>
      </c>
      <c r="N37" s="53">
        <f t="shared" si="12"/>
        <v>385445.77999999997</v>
      </c>
      <c r="O37" s="43">
        <v>0</v>
      </c>
      <c r="P37" s="43">
        <v>0</v>
      </c>
      <c r="Q37" s="180">
        <f t="shared" si="13"/>
        <v>385445.77999999997</v>
      </c>
      <c r="T37" s="267">
        <f t="shared" si="9"/>
        <v>3.8974199080208896E-2</v>
      </c>
      <c r="U37" s="153">
        <f t="shared" si="10"/>
        <v>168497.91931970531</v>
      </c>
      <c r="V37" s="153">
        <f t="shared" si="14"/>
        <v>553943.69931970525</v>
      </c>
    </row>
    <row r="38" spans="1:22" ht="12.75" customHeight="1">
      <c r="A38" s="103" t="s">
        <v>278</v>
      </c>
      <c r="B38" s="48">
        <v>2.1899999999999999E-2</v>
      </c>
      <c r="C38" s="48">
        <v>0</v>
      </c>
      <c r="D38" s="336">
        <v>12371</v>
      </c>
      <c r="E38" s="173"/>
      <c r="F38" s="43">
        <v>906434426</v>
      </c>
      <c r="G38" s="53">
        <v>3068.23</v>
      </c>
      <c r="H38" s="53">
        <v>197502.17</v>
      </c>
      <c r="I38" s="53">
        <v>0</v>
      </c>
      <c r="J38" s="53">
        <v>2038.37</v>
      </c>
      <c r="K38" s="53">
        <v>4.4000000000000004</v>
      </c>
      <c r="L38" s="53">
        <f t="shared" si="11"/>
        <v>198536.43000000002</v>
      </c>
      <c r="M38" s="53">
        <v>29712.17</v>
      </c>
      <c r="N38" s="53">
        <f t="shared" si="12"/>
        <v>168824.26</v>
      </c>
      <c r="O38" s="43">
        <v>0</v>
      </c>
      <c r="P38" s="43">
        <v>0</v>
      </c>
      <c r="Q38" s="180">
        <f t="shared" si="13"/>
        <v>168824.26</v>
      </c>
      <c r="T38" s="267">
        <f t="shared" si="9"/>
        <v>1.7070699197131497E-2</v>
      </c>
      <c r="U38" s="153">
        <f t="shared" si="10"/>
        <v>73802.088662030932</v>
      </c>
      <c r="V38" s="153">
        <f t="shared" si="14"/>
        <v>242626.34866203094</v>
      </c>
    </row>
    <row r="39" spans="1:22" ht="12.75" customHeight="1">
      <c r="A39" s="103" t="s">
        <v>279</v>
      </c>
      <c r="B39" s="48">
        <v>1.4999999999999999E-2</v>
      </c>
      <c r="C39" s="48">
        <v>0</v>
      </c>
      <c r="D39" s="336">
        <v>12371</v>
      </c>
      <c r="E39" s="173"/>
      <c r="F39" s="43">
        <v>906434426</v>
      </c>
      <c r="G39" s="53">
        <v>2101.34</v>
      </c>
      <c r="H39" s="53">
        <v>135276.76999999999</v>
      </c>
      <c r="I39" s="53">
        <v>0</v>
      </c>
      <c r="J39" s="53">
        <v>1396.14</v>
      </c>
      <c r="K39" s="53">
        <v>3</v>
      </c>
      <c r="L39" s="53">
        <f t="shared" si="11"/>
        <v>135984.96999999997</v>
      </c>
      <c r="M39" s="53">
        <v>20351.41</v>
      </c>
      <c r="N39" s="53">
        <f t="shared" si="12"/>
        <v>115633.55999999997</v>
      </c>
      <c r="O39" s="43">
        <v>0</v>
      </c>
      <c r="P39" s="43">
        <v>0</v>
      </c>
      <c r="Q39" s="180">
        <f t="shared" si="13"/>
        <v>115633.55999999997</v>
      </c>
      <c r="T39" s="267">
        <f t="shared" si="9"/>
        <v>1.1692259724062669E-2</v>
      </c>
      <c r="U39" s="153">
        <f t="shared" si="10"/>
        <v>50549.375795911597</v>
      </c>
      <c r="V39" s="153">
        <f t="shared" si="14"/>
        <v>166182.93579591156</v>
      </c>
    </row>
    <row r="40" spans="1:22" ht="12.75" customHeight="1">
      <c r="A40" s="103" t="s">
        <v>280</v>
      </c>
      <c r="B40" s="48">
        <v>0.03</v>
      </c>
      <c r="C40" s="48">
        <v>0.03</v>
      </c>
      <c r="D40" s="336">
        <v>12371</v>
      </c>
      <c r="E40" s="173"/>
      <c r="F40" s="43">
        <v>906434426</v>
      </c>
      <c r="G40" s="53">
        <v>4202.8900000000003</v>
      </c>
      <c r="H40" s="53">
        <v>0</v>
      </c>
      <c r="I40" s="53">
        <v>270474.32</v>
      </c>
      <c r="J40" s="53">
        <v>2791.54</v>
      </c>
      <c r="K40" s="53">
        <v>6.05</v>
      </c>
      <c r="L40" s="53">
        <f t="shared" si="11"/>
        <v>271891.72000000003</v>
      </c>
      <c r="M40" s="53">
        <v>0</v>
      </c>
      <c r="N40" s="53">
        <f t="shared" si="12"/>
        <v>271891.72000000003</v>
      </c>
      <c r="O40" s="43">
        <v>0</v>
      </c>
      <c r="P40" s="43">
        <v>0</v>
      </c>
      <c r="Q40" s="180">
        <f t="shared" si="13"/>
        <v>271891.72000000003</v>
      </c>
      <c r="T40" s="267">
        <f t="shared" si="9"/>
        <v>2.3384519448125338E-2</v>
      </c>
      <c r="U40" s="153">
        <f t="shared" si="10"/>
        <v>101098.75159182319</v>
      </c>
      <c r="V40" s="153">
        <f t="shared" si="14"/>
        <v>372990.47159182321</v>
      </c>
    </row>
    <row r="41" spans="1:22" ht="12.75" customHeight="1">
      <c r="A41" s="103" t="s">
        <v>95</v>
      </c>
      <c r="B41" s="48">
        <v>0.06</v>
      </c>
      <c r="C41" s="48">
        <v>0</v>
      </c>
      <c r="D41" s="336">
        <v>12371</v>
      </c>
      <c r="E41" s="173"/>
      <c r="F41" s="43">
        <v>906434426</v>
      </c>
      <c r="G41" s="53">
        <v>7004.74</v>
      </c>
      <c r="H41" s="53">
        <v>450920.47</v>
      </c>
      <c r="I41" s="53">
        <v>0</v>
      </c>
      <c r="J41" s="53">
        <v>4652.4399999999996</v>
      </c>
      <c r="K41" s="53">
        <v>10.06</v>
      </c>
      <c r="L41" s="53">
        <f t="shared" si="11"/>
        <v>453282.82999999996</v>
      </c>
      <c r="M41" s="53">
        <v>67837.05</v>
      </c>
      <c r="N41" s="53">
        <f t="shared" si="12"/>
        <v>385445.77999999997</v>
      </c>
      <c r="O41" s="43">
        <v>0</v>
      </c>
      <c r="P41" s="43">
        <v>0</v>
      </c>
      <c r="Q41" s="180">
        <f t="shared" si="13"/>
        <v>385445.77999999997</v>
      </c>
      <c r="S41" s="43"/>
      <c r="T41" s="267">
        <f t="shared" si="9"/>
        <v>4.6769038896250677E-2</v>
      </c>
      <c r="U41" s="153">
        <f t="shared" si="10"/>
        <v>202197.50318364639</v>
      </c>
      <c r="V41" s="153">
        <f t="shared" si="14"/>
        <v>587643.28318364639</v>
      </c>
    </row>
    <row r="42" spans="1:22" ht="12.75" customHeight="1">
      <c r="A42" s="103" t="s">
        <v>281</v>
      </c>
      <c r="B42" s="48">
        <v>0.05</v>
      </c>
      <c r="C42" s="48">
        <v>0</v>
      </c>
      <c r="D42" s="405">
        <v>12371</v>
      </c>
      <c r="E42" s="173"/>
      <c r="F42" s="43">
        <v>906434426</v>
      </c>
      <c r="G42" s="53">
        <v>8405.68</v>
      </c>
      <c r="H42" s="53">
        <v>541102</v>
      </c>
      <c r="I42" s="53">
        <v>0</v>
      </c>
      <c r="J42" s="53">
        <v>5582.08</v>
      </c>
      <c r="K42" s="53">
        <v>12.08</v>
      </c>
      <c r="L42" s="53">
        <f>G42+H42+I42-J42+K42</f>
        <v>543937.68000000005</v>
      </c>
      <c r="M42" s="53">
        <v>81404.19</v>
      </c>
      <c r="N42" s="53">
        <f t="shared" si="12"/>
        <v>462533.49000000005</v>
      </c>
      <c r="O42" s="43">
        <v>0</v>
      </c>
      <c r="P42" s="43">
        <v>0</v>
      </c>
      <c r="Q42" s="180">
        <f t="shared" si="13"/>
        <v>462533.49000000005</v>
      </c>
      <c r="T42" s="267">
        <f t="shared" si="9"/>
        <v>3.8974199080208896E-2</v>
      </c>
      <c r="U42" s="153">
        <f t="shared" si="10"/>
        <v>168497.91931970531</v>
      </c>
      <c r="V42" s="153">
        <f t="shared" si="14"/>
        <v>631031.40931970533</v>
      </c>
    </row>
    <row r="43" spans="1:22" s="50" customFormat="1" ht="12.75" customHeight="1">
      <c r="A43" s="71"/>
      <c r="B43" s="51"/>
      <c r="C43" s="51"/>
      <c r="D43" s="52"/>
      <c r="E43" s="65">
        <v>45601490</v>
      </c>
      <c r="F43" s="52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275"/>
      <c r="T43" s="267"/>
      <c r="U43" s="268"/>
      <c r="V43" s="268"/>
    </row>
    <row r="44" spans="1:22" ht="12.75" customHeight="1">
      <c r="A44" s="71" t="s">
        <v>26</v>
      </c>
      <c r="B44" s="48">
        <f>SUM(B32:B43)</f>
        <v>1.2829000000000002</v>
      </c>
      <c r="C44" s="48">
        <f>SUM(C32:C43)</f>
        <v>0.03</v>
      </c>
      <c r="D44" s="72">
        <f>D32</f>
        <v>12371</v>
      </c>
      <c r="E44" s="208">
        <f>G44/B44*100</f>
        <v>14009100.475485228</v>
      </c>
      <c r="F44" s="72">
        <f>F32</f>
        <v>906434426</v>
      </c>
      <c r="G44" s="73">
        <f t="shared" ref="G44:P44" si="15">SUM(G32:G43)</f>
        <v>179722.75</v>
      </c>
      <c r="H44" s="73">
        <f t="shared" si="15"/>
        <v>11299366.82</v>
      </c>
      <c r="I44" s="73">
        <f t="shared" si="15"/>
        <v>270474.32</v>
      </c>
      <c r="J44" s="73">
        <f t="shared" si="15"/>
        <v>119371.23999999999</v>
      </c>
      <c r="K44" s="73">
        <f t="shared" si="15"/>
        <v>258.13000000000005</v>
      </c>
      <c r="L44" s="73">
        <f t="shared" si="15"/>
        <v>11630450.780000001</v>
      </c>
      <c r="M44" s="73">
        <f t="shared" si="15"/>
        <v>1829538.86</v>
      </c>
      <c r="N44" s="73">
        <f t="shared" si="15"/>
        <v>9800911.9199999999</v>
      </c>
      <c r="O44" s="72">
        <f t="shared" si="15"/>
        <v>0</v>
      </c>
      <c r="P44" s="72">
        <f t="shared" si="15"/>
        <v>0</v>
      </c>
      <c r="Q44" s="73">
        <f>N44-O44-P44</f>
        <v>9800911.9199999999</v>
      </c>
      <c r="T44" s="267">
        <f>SUM(T32:T42)</f>
        <v>1</v>
      </c>
      <c r="U44" s="267">
        <f>SUM(U32:U42)</f>
        <v>4323319.6139049996</v>
      </c>
      <c r="V44" s="267">
        <f>SUM(V32:V42)</f>
        <v>14124231.533904996</v>
      </c>
    </row>
    <row r="45" spans="1:22" ht="12.75" customHeight="1">
      <c r="A45" s="47" t="s">
        <v>16</v>
      </c>
      <c r="B45" s="48">
        <f>B$44</f>
        <v>1.2829000000000002</v>
      </c>
      <c r="C45" s="48">
        <f>C$44</f>
        <v>0.03</v>
      </c>
      <c r="D45" s="43"/>
      <c r="E45" s="173"/>
      <c r="F45" s="65">
        <f>IF(E43&gt;E44,E43-E44,0)</f>
        <v>31592389.524514772</v>
      </c>
      <c r="G45" s="53">
        <f>F45*(B45-C45)/100</f>
        <v>395821.04835264565</v>
      </c>
      <c r="I45" s="53">
        <f>F45*C45/100</f>
        <v>9477.7168573544313</v>
      </c>
      <c r="J45" s="53">
        <v>0</v>
      </c>
      <c r="K45" s="53">
        <v>0</v>
      </c>
      <c r="L45" s="53">
        <f>G45+H45+I45-J45+K45</f>
        <v>405298.7652100001</v>
      </c>
      <c r="M45" s="53">
        <v>0</v>
      </c>
      <c r="N45" s="53">
        <f>L45-M45</f>
        <v>405298.7652100001</v>
      </c>
      <c r="O45" s="53">
        <v>0</v>
      </c>
      <c r="P45" s="53">
        <v>0</v>
      </c>
      <c r="Q45" s="53">
        <f>N45-O45-P45</f>
        <v>405298.7652100001</v>
      </c>
      <c r="T45" s="266"/>
      <c r="U45" s="266"/>
      <c r="V45" s="266"/>
    </row>
    <row r="46" spans="1:22" ht="12.75" customHeight="1">
      <c r="A46" s="47" t="s">
        <v>17</v>
      </c>
      <c r="B46" s="48">
        <f t="shared" ref="B46:C49" si="16">B$44</f>
        <v>1.2829000000000002</v>
      </c>
      <c r="C46" s="48">
        <f t="shared" si="16"/>
        <v>0.03</v>
      </c>
      <c r="D46" s="43"/>
      <c r="E46" s="173"/>
      <c r="F46" s="66">
        <v>203953955</v>
      </c>
      <c r="H46" s="53">
        <f>F46*(B46-C46)/100</f>
        <v>2555339.1021950003</v>
      </c>
      <c r="I46" s="53">
        <f>F46*C46/100</f>
        <v>61186.186499999996</v>
      </c>
      <c r="J46" s="53">
        <v>0</v>
      </c>
      <c r="K46" s="53">
        <v>0</v>
      </c>
      <c r="L46" s="53">
        <f>G46+H46+I46-J46+K46</f>
        <v>2616525.2886950001</v>
      </c>
      <c r="M46" s="53">
        <v>0</v>
      </c>
      <c r="N46" s="53">
        <f>L46-M46</f>
        <v>2616525.2886950001</v>
      </c>
      <c r="O46" s="53">
        <v>0</v>
      </c>
      <c r="P46" s="53">
        <v>0</v>
      </c>
      <c r="Q46" s="53">
        <f>N46-O46-P46</f>
        <v>2616525.2886950001</v>
      </c>
      <c r="T46" s="266" t="s">
        <v>380</v>
      </c>
      <c r="U46" s="266"/>
      <c r="V46" s="266"/>
    </row>
    <row r="47" spans="1:22" ht="12.75" customHeight="1">
      <c r="A47" s="47" t="s">
        <v>18</v>
      </c>
      <c r="B47" s="48"/>
      <c r="C47" s="48"/>
      <c r="D47" s="43"/>
      <c r="E47" s="173"/>
      <c r="F47" s="43"/>
      <c r="O47" s="53"/>
      <c r="P47" s="53"/>
      <c r="Q47" s="53"/>
      <c r="T47" s="266" t="s">
        <v>381</v>
      </c>
      <c r="U47" s="266"/>
      <c r="V47" s="266"/>
    </row>
    <row r="48" spans="1:22" ht="12.75" customHeight="1">
      <c r="A48" s="67" t="s">
        <v>19</v>
      </c>
      <c r="B48" s="48">
        <f t="shared" si="16"/>
        <v>1.2829000000000002</v>
      </c>
      <c r="C48" s="48">
        <f t="shared" si="16"/>
        <v>0.03</v>
      </c>
      <c r="D48" s="43"/>
      <c r="E48" s="173"/>
      <c r="F48" s="43">
        <v>98241595.120000005</v>
      </c>
      <c r="G48" s="53">
        <v>283253.03000000003</v>
      </c>
      <c r="H48" s="53">
        <v>984460.2</v>
      </c>
      <c r="I48" s="53">
        <v>23572.36</v>
      </c>
      <c r="J48" s="53">
        <v>30944.15</v>
      </c>
      <c r="K48" s="53">
        <v>0</v>
      </c>
      <c r="L48" s="53">
        <f>G48+H48+I48-J48+K48</f>
        <v>1260341.4400000002</v>
      </c>
      <c r="M48" s="53">
        <v>59352.54</v>
      </c>
      <c r="N48" s="53">
        <f>L48-M48</f>
        <v>1200988.9000000001</v>
      </c>
      <c r="O48" s="53">
        <v>0</v>
      </c>
      <c r="P48" s="53">
        <v>42470.69</v>
      </c>
      <c r="Q48" s="552">
        <f>N48-O48-P48</f>
        <v>1158518.2100000002</v>
      </c>
      <c r="T48" s="266"/>
      <c r="U48" s="266"/>
      <c r="V48" s="266"/>
    </row>
    <row r="49" spans="1:22" ht="12.75" customHeight="1">
      <c r="A49" s="67" t="s">
        <v>20</v>
      </c>
      <c r="B49" s="48">
        <f t="shared" si="16"/>
        <v>1.2829000000000002</v>
      </c>
      <c r="C49" s="48">
        <f t="shared" si="16"/>
        <v>0.03</v>
      </c>
      <c r="D49" s="43"/>
      <c r="E49" s="173"/>
      <c r="F49" s="43">
        <v>11145344.609999999</v>
      </c>
      <c r="G49" s="53">
        <v>139884.22</v>
      </c>
      <c r="H49" s="53">
        <v>3026.87</v>
      </c>
      <c r="I49" s="53">
        <v>72.31</v>
      </c>
      <c r="J49" s="53">
        <v>0</v>
      </c>
      <c r="K49" s="53">
        <v>0</v>
      </c>
      <c r="L49" s="53">
        <f>G49+H49+I49-J49+K49</f>
        <v>142983.4</v>
      </c>
      <c r="M49" s="53">
        <v>6.05</v>
      </c>
      <c r="N49" s="53">
        <f>L49-M49</f>
        <v>142977.35</v>
      </c>
      <c r="O49" s="53">
        <v>0</v>
      </c>
      <c r="P49" s="53">
        <v>0</v>
      </c>
      <c r="Q49" s="53">
        <f>N49-O49-P49</f>
        <v>142977.35</v>
      </c>
      <c r="T49" s="53">
        <f>SUM(Q45:Q46,Q48:Q49)</f>
        <v>4323319.6139049996</v>
      </c>
    </row>
    <row r="50" spans="1:22" ht="12.75" customHeight="1">
      <c r="A50" s="47"/>
      <c r="B50" s="48"/>
      <c r="C50" s="48"/>
      <c r="D50" s="43"/>
      <c r="E50" s="173"/>
      <c r="F50" s="43"/>
      <c r="O50" s="53"/>
      <c r="P50" s="53"/>
      <c r="Q50" s="53"/>
      <c r="T50" s="266"/>
      <c r="U50" s="266"/>
      <c r="V50" s="266"/>
    </row>
    <row r="51" spans="1:22" s="50" customFormat="1" ht="12.75" customHeight="1" thickBot="1">
      <c r="A51" s="60" t="s">
        <v>27</v>
      </c>
      <c r="B51" s="68">
        <f>B$44</f>
        <v>1.2829000000000002</v>
      </c>
      <c r="C51" s="68">
        <f>C$44</f>
        <v>0.03</v>
      </c>
      <c r="D51" s="69">
        <f t="shared" ref="D51:Q51" si="17">SUM(D44:D46,D48:D49)</f>
        <v>12371</v>
      </c>
      <c r="E51" s="204"/>
      <c r="F51" s="69">
        <f t="shared" si="17"/>
        <v>1251367710.2545145</v>
      </c>
      <c r="G51" s="70">
        <f t="shared" si="17"/>
        <v>998681.04835264571</v>
      </c>
      <c r="H51" s="70">
        <f t="shared" si="17"/>
        <v>14842192.992194999</v>
      </c>
      <c r="I51" s="70">
        <f t="shared" si="17"/>
        <v>364782.89335735445</v>
      </c>
      <c r="J51" s="70">
        <f t="shared" si="17"/>
        <v>150315.38999999998</v>
      </c>
      <c r="K51" s="70">
        <f t="shared" si="17"/>
        <v>258.13000000000005</v>
      </c>
      <c r="L51" s="70">
        <f t="shared" si="17"/>
        <v>16055599.673905002</v>
      </c>
      <c r="M51" s="70">
        <f t="shared" si="17"/>
        <v>1888897.4500000002</v>
      </c>
      <c r="N51" s="70">
        <f t="shared" si="17"/>
        <v>14166702.223905001</v>
      </c>
      <c r="O51" s="70">
        <f t="shared" si="17"/>
        <v>0</v>
      </c>
      <c r="P51" s="70">
        <f t="shared" si="17"/>
        <v>42470.69</v>
      </c>
      <c r="Q51" s="70">
        <f t="shared" si="17"/>
        <v>14124231.533905001</v>
      </c>
    </row>
    <row r="52" spans="1:22" s="168" customFormat="1" ht="12.75" customHeight="1">
      <c r="A52" s="165" t="s">
        <v>28</v>
      </c>
      <c r="B52" s="166"/>
      <c r="C52" s="166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</row>
    <row r="53" spans="1:22" s="168" customFormat="1" ht="12.75" customHeight="1">
      <c r="A53" s="200" t="s">
        <v>29</v>
      </c>
      <c r="B53" s="166"/>
      <c r="C53" s="166"/>
      <c r="D53" s="167"/>
      <c r="E53" s="167"/>
      <c r="F53" s="167">
        <v>13403849</v>
      </c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</row>
    <row r="54" spans="1:22" s="168" customFormat="1" ht="12.75" customHeight="1">
      <c r="A54" s="200" t="s">
        <v>15</v>
      </c>
      <c r="B54" s="166"/>
      <c r="C54" s="166"/>
      <c r="D54" s="167"/>
      <c r="E54" s="167"/>
      <c r="F54" s="169">
        <v>892468463</v>
      </c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</row>
    <row r="55" spans="1:22" s="168" customFormat="1" ht="12.75" customHeight="1">
      <c r="A55" s="200"/>
      <c r="B55" s="166"/>
      <c r="C55" s="166"/>
      <c r="D55" s="167"/>
      <c r="E55" s="167"/>
      <c r="F55" s="167">
        <f>F53+F54</f>
        <v>905872312</v>
      </c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</row>
    <row r="56" spans="1:22" s="168" customFormat="1" ht="12.75" customHeight="1">
      <c r="A56" s="200" t="s">
        <v>30</v>
      </c>
      <c r="B56" s="166"/>
      <c r="C56" s="166"/>
      <c r="D56" s="167"/>
      <c r="E56" s="167"/>
      <c r="F56" s="74">
        <f>F44-F55</f>
        <v>562114</v>
      </c>
      <c r="G56" s="170">
        <f>F56/F55</f>
        <v>6.2052233251169286E-4</v>
      </c>
      <c r="H56" s="167"/>
      <c r="I56" s="167"/>
      <c r="J56" s="167"/>
      <c r="K56" s="167"/>
      <c r="L56" s="167"/>
      <c r="M56" s="167"/>
      <c r="N56" s="167"/>
      <c r="O56" s="167"/>
      <c r="P56" s="167"/>
      <c r="Q56" s="167"/>
    </row>
    <row r="57" spans="1:22" s="174" customFormat="1" ht="12.75" customHeight="1">
      <c r="A57" s="171"/>
      <c r="B57" s="172"/>
      <c r="C57" s="172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1:22" s="174" customFormat="1" ht="12.75" customHeight="1">
      <c r="A58" s="75" t="s">
        <v>355</v>
      </c>
      <c r="B58" s="172"/>
      <c r="C58" s="172"/>
      <c r="D58" s="175"/>
      <c r="E58" s="175"/>
      <c r="F58" s="175">
        <v>1251410848</v>
      </c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1:22" s="174" customFormat="1" ht="12.75" customHeight="1">
      <c r="A59" s="76" t="s">
        <v>30</v>
      </c>
      <c r="B59" s="172"/>
      <c r="C59" s="172"/>
      <c r="D59" s="77"/>
      <c r="E59" s="77"/>
      <c r="F59" s="77">
        <f>(F51-F58)</f>
        <v>-43137.745485544205</v>
      </c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1:22" ht="12.75" customHeight="1">
      <c r="A60" s="47"/>
      <c r="B60" s="48"/>
      <c r="C60" s="48"/>
      <c r="D60" s="43"/>
      <c r="E60" s="173"/>
      <c r="F60" s="43"/>
      <c r="O60" s="43"/>
      <c r="P60" s="43"/>
      <c r="Q60" s="43"/>
    </row>
    <row r="61" spans="1:22" ht="12.75" customHeight="1">
      <c r="A61" s="54" t="s">
        <v>13</v>
      </c>
      <c r="B61" s="51"/>
      <c r="C61" s="51"/>
      <c r="D61" s="52"/>
      <c r="E61" s="203"/>
      <c r="F61" s="52"/>
      <c r="G61" s="64"/>
      <c r="O61" s="53"/>
      <c r="P61" s="53"/>
      <c r="Q61" s="53"/>
    </row>
    <row r="62" spans="1:22" ht="12.75" customHeight="1">
      <c r="A62" s="47"/>
      <c r="B62" s="48"/>
      <c r="C62" s="48"/>
      <c r="D62" s="43"/>
      <c r="E62" s="65">
        <v>45601490</v>
      </c>
      <c r="F62" s="43"/>
      <c r="O62" s="53"/>
      <c r="P62" s="53"/>
      <c r="Q62" s="53"/>
    </row>
    <row r="63" spans="1:22" ht="12.75" customHeight="1">
      <c r="A63" s="49" t="s">
        <v>15</v>
      </c>
      <c r="B63" s="48">
        <v>0.75</v>
      </c>
      <c r="C63" s="48">
        <v>0</v>
      </c>
      <c r="D63" s="43">
        <v>12371</v>
      </c>
      <c r="E63" s="173">
        <f>+G63/B63*100</f>
        <v>14009498.666666666</v>
      </c>
      <c r="F63" s="43">
        <v>906434426</v>
      </c>
      <c r="G63" s="53">
        <v>105071.24</v>
      </c>
      <c r="H63" s="53">
        <v>6763772.9900000002</v>
      </c>
      <c r="I63" s="53">
        <f>F63*C63/100</f>
        <v>0</v>
      </c>
      <c r="J63" s="53">
        <v>69786.12</v>
      </c>
      <c r="K63" s="53">
        <v>150.91999999999999</v>
      </c>
      <c r="L63" s="53">
        <f>G63+H63+I63-J63+K63</f>
        <v>6799209.0300000003</v>
      </c>
      <c r="M63" s="53">
        <v>1017557.66</v>
      </c>
      <c r="N63" s="53">
        <f>L63-M63</f>
        <v>5781651.3700000001</v>
      </c>
      <c r="O63" s="53">
        <v>0</v>
      </c>
      <c r="P63" s="53">
        <v>0</v>
      </c>
      <c r="Q63" s="53">
        <f>N63-O63-P63</f>
        <v>5781651.3700000001</v>
      </c>
    </row>
    <row r="64" spans="1:22" ht="12.75" customHeight="1">
      <c r="A64" s="47" t="s">
        <v>16</v>
      </c>
      <c r="B64" s="48">
        <f>B$63</f>
        <v>0.75</v>
      </c>
      <c r="C64" s="48">
        <f>C$63</f>
        <v>0</v>
      </c>
      <c r="D64" s="43"/>
      <c r="E64" s="173"/>
      <c r="F64" s="65">
        <f>IF(E62&gt;E63,E62-E63,0)</f>
        <v>31591991.333333336</v>
      </c>
      <c r="G64" s="53">
        <f>F64*(B64-C64)/100</f>
        <v>236939.935</v>
      </c>
      <c r="I64" s="53">
        <f>F64*C64/100</f>
        <v>0</v>
      </c>
      <c r="L64" s="53">
        <f>G64+H64+I64-J64+K64</f>
        <v>236939.935</v>
      </c>
      <c r="N64" s="53">
        <f>L64-M64</f>
        <v>236939.935</v>
      </c>
      <c r="O64" s="53"/>
      <c r="P64" s="53"/>
      <c r="Q64" s="53">
        <f>N64-O64-P64</f>
        <v>236939.935</v>
      </c>
    </row>
    <row r="65" spans="1:22" ht="12.75" customHeight="1">
      <c r="A65" s="47" t="s">
        <v>17</v>
      </c>
      <c r="B65" s="48">
        <f t="shared" ref="B65:C68" si="18">B$63</f>
        <v>0.75</v>
      </c>
      <c r="C65" s="48">
        <f t="shared" si="18"/>
        <v>0</v>
      </c>
      <c r="D65" s="43"/>
      <c r="E65" s="173"/>
      <c r="F65" s="66">
        <v>203953955</v>
      </c>
      <c r="H65" s="53">
        <f>F65*(B65-C65)/100</f>
        <v>1529654.6625000001</v>
      </c>
      <c r="I65" s="53">
        <f>F65*C65/100</f>
        <v>0</v>
      </c>
      <c r="J65" s="53">
        <v>0</v>
      </c>
      <c r="K65" s="53">
        <v>0</v>
      </c>
      <c r="L65" s="53">
        <f>G65+H65+I65-J65+K65</f>
        <v>1529654.6625000001</v>
      </c>
      <c r="M65" s="53">
        <v>0</v>
      </c>
      <c r="N65" s="53">
        <f>L65-M65</f>
        <v>1529654.6625000001</v>
      </c>
      <c r="O65" s="53">
        <v>0</v>
      </c>
      <c r="P65" s="53">
        <v>0</v>
      </c>
      <c r="Q65" s="53">
        <f>N65-O65-P65</f>
        <v>1529654.6625000001</v>
      </c>
    </row>
    <row r="66" spans="1:22" ht="12.75" customHeight="1">
      <c r="A66" s="47" t="s">
        <v>18</v>
      </c>
      <c r="B66" s="48"/>
      <c r="C66" s="48"/>
      <c r="D66" s="43"/>
      <c r="E66" s="173"/>
      <c r="F66" s="43"/>
      <c r="O66" s="53"/>
      <c r="P66" s="53"/>
      <c r="Q66" s="53"/>
    </row>
    <row r="67" spans="1:22" ht="12.75" customHeight="1">
      <c r="A67" s="67" t="s">
        <v>19</v>
      </c>
      <c r="B67" s="48">
        <f t="shared" si="18"/>
        <v>0.75</v>
      </c>
      <c r="C67" s="48">
        <v>0</v>
      </c>
      <c r="D67" s="43"/>
      <c r="E67" s="173"/>
      <c r="F67" s="43">
        <v>98241595.120000005</v>
      </c>
      <c r="G67" s="53">
        <f>287028.51*S70</f>
        <v>165593.37115384615</v>
      </c>
      <c r="H67" s="53">
        <f>1021468.81*S70</f>
        <v>589308.92884615378</v>
      </c>
      <c r="J67" s="53">
        <f>31356.6*S70</f>
        <v>18090.346153846152</v>
      </c>
      <c r="K67" s="53">
        <v>0</v>
      </c>
      <c r="L67" s="53">
        <f>G67+H67+I67-J67+K67</f>
        <v>736811.9538461538</v>
      </c>
      <c r="M67" s="53">
        <f>61583.77*S70</f>
        <v>35529.098076923074</v>
      </c>
      <c r="N67" s="53">
        <f>L67-M67</f>
        <v>701282.85576923075</v>
      </c>
      <c r="O67" s="53">
        <v>0</v>
      </c>
      <c r="P67" s="53">
        <f>43036.79*S70</f>
        <v>24828.917307692307</v>
      </c>
      <c r="Q67" s="53">
        <f>N67-O67-P67</f>
        <v>676453.9384615384</v>
      </c>
      <c r="T67" s="266"/>
      <c r="U67" s="266"/>
      <c r="V67" s="266"/>
    </row>
    <row r="68" spans="1:22" ht="12.75" customHeight="1">
      <c r="A68" s="67" t="s">
        <v>20</v>
      </c>
      <c r="B68" s="48">
        <f t="shared" si="18"/>
        <v>0.75</v>
      </c>
      <c r="C68" s="48">
        <f t="shared" si="18"/>
        <v>0</v>
      </c>
      <c r="D68" s="43"/>
      <c r="E68" s="173"/>
      <c r="F68" s="43">
        <v>11145344.609999999</v>
      </c>
      <c r="G68" s="53">
        <f>141748.77*S70</f>
        <v>81778.13653846152</v>
      </c>
      <c r="H68" s="53">
        <f>3140.64*S70</f>
        <v>1811.9076923076921</v>
      </c>
      <c r="I68" s="53">
        <f t="shared" ref="I68" si="19">F68*C68/100</f>
        <v>0</v>
      </c>
      <c r="J68" s="53">
        <v>0</v>
      </c>
      <c r="K68" s="53">
        <v>0</v>
      </c>
      <c r="L68" s="53">
        <f>G68+H68+I68-J68+K68</f>
        <v>83590.044230769214</v>
      </c>
      <c r="M68" s="53">
        <f>6.28*S70</f>
        <v>3.6230769230769231</v>
      </c>
      <c r="N68" s="53">
        <f>L68-M68</f>
        <v>83586.421153846139</v>
      </c>
      <c r="O68" s="53">
        <v>0</v>
      </c>
      <c r="P68" s="53">
        <v>0</v>
      </c>
      <c r="Q68" s="53">
        <f>N68-O68-P68</f>
        <v>83586.421153846139</v>
      </c>
      <c r="S68" s="49">
        <f>G68</f>
        <v>81778.13653846152</v>
      </c>
    </row>
    <row r="69" spans="1:22" ht="12.75" customHeight="1">
      <c r="A69" s="47"/>
      <c r="B69" s="48"/>
      <c r="C69" s="48"/>
      <c r="D69" s="43"/>
      <c r="E69" s="173"/>
      <c r="F69" s="43"/>
      <c r="O69" s="53"/>
      <c r="P69" s="53"/>
      <c r="Q69" s="53"/>
    </row>
    <row r="70" spans="1:22" s="50" customFormat="1" ht="12.75" customHeight="1">
      <c r="A70" s="57" t="str">
        <f>"TOTAL " &amp; A61</f>
        <v>TOTAL SCHOOL DISTRICT</v>
      </c>
      <c r="B70" s="51">
        <f>B$63</f>
        <v>0.75</v>
      </c>
      <c r="C70" s="51">
        <f>C$63</f>
        <v>0</v>
      </c>
      <c r="D70" s="78">
        <f t="shared" ref="D70:Q70" si="20">SUM(D63:D65,D67:D68)</f>
        <v>12371</v>
      </c>
      <c r="E70" s="206"/>
      <c r="F70" s="78">
        <f t="shared" si="20"/>
        <v>1251367312.0633333</v>
      </c>
      <c r="G70" s="79">
        <f t="shared" si="20"/>
        <v>589382.68269230763</v>
      </c>
      <c r="H70" s="79">
        <f t="shared" si="20"/>
        <v>8884548.4890384618</v>
      </c>
      <c r="I70" s="79">
        <f t="shared" si="20"/>
        <v>0</v>
      </c>
      <c r="J70" s="79">
        <f t="shared" si="20"/>
        <v>87876.466153846151</v>
      </c>
      <c r="K70" s="79">
        <f t="shared" si="20"/>
        <v>150.91999999999999</v>
      </c>
      <c r="L70" s="79">
        <f t="shared" si="20"/>
        <v>9386205.6255769227</v>
      </c>
      <c r="M70" s="79">
        <f t="shared" si="20"/>
        <v>1053090.3811538464</v>
      </c>
      <c r="N70" s="79">
        <f t="shared" si="20"/>
        <v>8333115.2444230765</v>
      </c>
      <c r="O70" s="79">
        <f t="shared" si="20"/>
        <v>0</v>
      </c>
      <c r="P70" s="79">
        <f t="shared" si="20"/>
        <v>24828.917307692307</v>
      </c>
      <c r="Q70" s="79">
        <f t="shared" si="20"/>
        <v>8308286.3271153839</v>
      </c>
      <c r="S70" s="183">
        <f>B70/B84</f>
        <v>0.57692307692307687</v>
      </c>
    </row>
    <row r="71" spans="1:22" ht="12.75" customHeight="1">
      <c r="A71" s="47"/>
      <c r="B71" s="48"/>
      <c r="C71" s="48"/>
      <c r="D71" s="43"/>
      <c r="E71" s="173"/>
      <c r="F71" s="43"/>
      <c r="L71" s="505" t="s">
        <v>388</v>
      </c>
      <c r="M71" s="506">
        <f>M70/L70</f>
        <v>0.1121955370639047</v>
      </c>
      <c r="O71" s="43"/>
      <c r="P71" s="43"/>
      <c r="Q71" s="43"/>
    </row>
    <row r="72" spans="1:22" ht="12.75" customHeight="1">
      <c r="A72" s="47"/>
      <c r="B72" s="48"/>
      <c r="C72" s="48"/>
      <c r="D72" s="43"/>
      <c r="E72" s="173"/>
      <c r="F72" s="43"/>
      <c r="G72" s="81">
        <f>G67+G79</f>
        <v>287028.51</v>
      </c>
      <c r="H72" s="81">
        <f t="shared" ref="H72:Q73" si="21">H67+H79</f>
        <v>1021468.8099999999</v>
      </c>
      <c r="I72" s="81">
        <f t="shared" si="21"/>
        <v>0</v>
      </c>
      <c r="J72" s="81">
        <f t="shared" si="21"/>
        <v>31356.6</v>
      </c>
      <c r="K72" s="81">
        <f t="shared" si="21"/>
        <v>0</v>
      </c>
      <c r="L72" s="81">
        <f t="shared" si="21"/>
        <v>1277140.72</v>
      </c>
      <c r="M72" s="81">
        <f t="shared" si="21"/>
        <v>61583.77</v>
      </c>
      <c r="N72" s="81">
        <f t="shared" si="21"/>
        <v>1215556.95</v>
      </c>
      <c r="O72" s="81">
        <f t="shared" si="21"/>
        <v>0</v>
      </c>
      <c r="P72" s="81">
        <f t="shared" si="21"/>
        <v>43036.79</v>
      </c>
      <c r="Q72" s="81">
        <f t="shared" si="21"/>
        <v>1172520.1599999999</v>
      </c>
    </row>
    <row r="73" spans="1:22" ht="12.75" customHeight="1">
      <c r="A73" s="154" t="s">
        <v>32</v>
      </c>
      <c r="B73" s="48"/>
      <c r="C73" s="48"/>
      <c r="D73" s="43"/>
      <c r="E73" s="173"/>
      <c r="F73" s="49"/>
      <c r="G73" s="81">
        <f>G68+G80</f>
        <v>141748.76999999996</v>
      </c>
      <c r="H73" s="81">
        <f t="shared" si="21"/>
        <v>3140.6399999999994</v>
      </c>
      <c r="I73" s="81">
        <f t="shared" si="21"/>
        <v>0</v>
      </c>
      <c r="J73" s="81">
        <f t="shared" si="21"/>
        <v>0</v>
      </c>
      <c r="K73" s="81">
        <f t="shared" si="21"/>
        <v>0</v>
      </c>
      <c r="L73" s="81">
        <f t="shared" si="21"/>
        <v>144889.40999999997</v>
      </c>
      <c r="M73" s="81">
        <f t="shared" si="21"/>
        <v>6.28</v>
      </c>
      <c r="N73" s="81">
        <f t="shared" si="21"/>
        <v>144883.12999999998</v>
      </c>
      <c r="O73" s="81">
        <f t="shared" si="21"/>
        <v>0</v>
      </c>
      <c r="P73" s="81">
        <f t="shared" si="21"/>
        <v>0</v>
      </c>
      <c r="Q73" s="81">
        <f t="shared" si="21"/>
        <v>144883.12999999998</v>
      </c>
    </row>
    <row r="74" spans="1:22" ht="12.75" customHeight="1">
      <c r="A74" s="47"/>
      <c r="B74" s="48"/>
      <c r="C74" s="48"/>
      <c r="D74" s="43"/>
      <c r="E74" s="65">
        <v>45601490</v>
      </c>
      <c r="F74" s="43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22" ht="12.75" customHeight="1">
      <c r="A75" s="49" t="s">
        <v>15</v>
      </c>
      <c r="B75" s="48">
        <v>0.55000000000000004</v>
      </c>
      <c r="C75" s="48">
        <v>0</v>
      </c>
      <c r="D75" s="43">
        <v>12371</v>
      </c>
      <c r="E75" s="173">
        <f>+G75/B75*100</f>
        <v>14009321.818181816</v>
      </c>
      <c r="F75" s="43">
        <v>906434426</v>
      </c>
      <c r="G75" s="53">
        <v>77051.27</v>
      </c>
      <c r="H75" s="53">
        <v>4960093.97</v>
      </c>
      <c r="I75" s="53">
        <f>F75*C75/100</f>
        <v>0</v>
      </c>
      <c r="J75" s="53">
        <v>51176.49</v>
      </c>
      <c r="K75" s="53">
        <v>110.69</v>
      </c>
      <c r="L75" s="53">
        <f>G75+H75+I75-J75+K75</f>
        <v>4986079.4399999995</v>
      </c>
      <c r="M75" s="53">
        <v>746209.72</v>
      </c>
      <c r="N75" s="53">
        <f>L75-M75</f>
        <v>4239869.72</v>
      </c>
      <c r="O75" s="53">
        <v>0</v>
      </c>
      <c r="P75" s="53">
        <v>0</v>
      </c>
      <c r="Q75" s="53">
        <f>N75-O75-P75</f>
        <v>4239869.72</v>
      </c>
    </row>
    <row r="76" spans="1:22" ht="12.75" customHeight="1">
      <c r="A76" s="47" t="s">
        <v>16</v>
      </c>
      <c r="B76" s="48">
        <f>B$75</f>
        <v>0.55000000000000004</v>
      </c>
      <c r="C76" s="48">
        <v>0</v>
      </c>
      <c r="D76" s="43"/>
      <c r="E76" s="173"/>
      <c r="F76" s="65">
        <f>IF(E74&gt;E75,E74-E75,0)</f>
        <v>31592168.181818184</v>
      </c>
      <c r="G76" s="53">
        <f>F76*(B76-C76)/100</f>
        <v>173756.92500000005</v>
      </c>
      <c r="I76" s="53">
        <f>F76*C76/100</f>
        <v>0</v>
      </c>
      <c r="L76" s="53">
        <f>G76+H76+I76-J76+K76</f>
        <v>173756.92500000005</v>
      </c>
      <c r="N76" s="53">
        <f>L76-M76</f>
        <v>173756.92500000005</v>
      </c>
      <c r="O76" s="53"/>
      <c r="P76" s="53"/>
      <c r="Q76" s="53">
        <f>N76-O76-P76</f>
        <v>173756.92500000005</v>
      </c>
    </row>
    <row r="77" spans="1:22" ht="12.75" customHeight="1">
      <c r="A77" s="47" t="s">
        <v>17</v>
      </c>
      <c r="B77" s="48">
        <f t="shared" ref="B77:B80" si="22">B$75</f>
        <v>0.55000000000000004</v>
      </c>
      <c r="C77" s="48">
        <v>0</v>
      </c>
      <c r="D77" s="43"/>
      <c r="E77" s="173"/>
      <c r="F77" s="66">
        <v>203953955</v>
      </c>
      <c r="H77" s="53">
        <f>F77*(B77-C77)/100</f>
        <v>1121746.7525000002</v>
      </c>
      <c r="I77" s="53">
        <f>F77*C77/100</f>
        <v>0</v>
      </c>
      <c r="J77" s="53">
        <v>0</v>
      </c>
      <c r="K77" s="53">
        <v>0</v>
      </c>
      <c r="L77" s="53">
        <f>G77+H77+I77-J77+K77</f>
        <v>1121746.7525000002</v>
      </c>
      <c r="M77" s="53">
        <v>0</v>
      </c>
      <c r="N77" s="53">
        <f>L77-M77</f>
        <v>1121746.7525000002</v>
      </c>
      <c r="O77" s="53">
        <v>0</v>
      </c>
      <c r="P77" s="53">
        <v>0</v>
      </c>
      <c r="Q77" s="53">
        <f>N77-O77-P77</f>
        <v>1121746.7525000002</v>
      </c>
    </row>
    <row r="78" spans="1:22" ht="12.75" customHeight="1">
      <c r="A78" s="47" t="s">
        <v>18</v>
      </c>
      <c r="B78" s="48"/>
      <c r="C78" s="48"/>
      <c r="D78" s="43"/>
      <c r="E78" s="173"/>
      <c r="F78" s="43"/>
      <c r="O78" s="53"/>
      <c r="P78" s="53"/>
      <c r="Q78" s="53"/>
    </row>
    <row r="79" spans="1:22" ht="12.75" customHeight="1">
      <c r="A79" s="67" t="s">
        <v>19</v>
      </c>
      <c r="B79" s="48">
        <f t="shared" si="22"/>
        <v>0.55000000000000004</v>
      </c>
      <c r="C79" s="48">
        <v>0</v>
      </c>
      <c r="D79" s="43"/>
      <c r="E79" s="173"/>
      <c r="F79" s="43">
        <v>98241595.120000005</v>
      </c>
      <c r="G79" s="53">
        <f>287028.51*S82</f>
        <v>121435.13884615384</v>
      </c>
      <c r="H79" s="53">
        <f>1021468.81*S82</f>
        <v>432159.88115384616</v>
      </c>
      <c r="J79" s="53">
        <f>31356.6*S82</f>
        <v>13266.253846153846</v>
      </c>
      <c r="K79" s="53">
        <v>0</v>
      </c>
      <c r="L79" s="53">
        <f>G79+H79+I79-J79+K79</f>
        <v>540328.76615384617</v>
      </c>
      <c r="M79" s="53">
        <f>61583.77*S82</f>
        <v>26054.671923076923</v>
      </c>
      <c r="N79" s="53">
        <f>L79-M79</f>
        <v>514274.09423076926</v>
      </c>
      <c r="O79" s="53">
        <v>0</v>
      </c>
      <c r="P79" s="53">
        <f>43036.79*S82</f>
        <v>18207.872692307694</v>
      </c>
      <c r="Q79" s="53">
        <f>N79-O79-P79</f>
        <v>496066.22153846157</v>
      </c>
      <c r="S79" s="53">
        <f>+Q79+Q67</f>
        <v>1172520.1599999999</v>
      </c>
      <c r="T79" s="266"/>
      <c r="U79" s="266"/>
      <c r="V79" s="266"/>
    </row>
    <row r="80" spans="1:22" ht="12.75" customHeight="1">
      <c r="A80" s="67" t="s">
        <v>20</v>
      </c>
      <c r="B80" s="48">
        <f t="shared" si="22"/>
        <v>0.55000000000000004</v>
      </c>
      <c r="C80" s="48">
        <v>0</v>
      </c>
      <c r="D80" s="43"/>
      <c r="E80" s="173"/>
      <c r="F80" s="43">
        <v>11145344.609999999</v>
      </c>
      <c r="G80" s="53">
        <f>141748.77*S82</f>
        <v>59970.633461538455</v>
      </c>
      <c r="H80" s="53">
        <f>3140.64*S82</f>
        <v>1328.7323076923076</v>
      </c>
      <c r="I80" s="53">
        <f t="shared" ref="I80" si="23">F80*C80/100</f>
        <v>0</v>
      </c>
      <c r="J80" s="53">
        <v>0</v>
      </c>
      <c r="K80" s="53">
        <v>0</v>
      </c>
      <c r="L80" s="53">
        <f>G80+H80+I80-J80+K80</f>
        <v>61299.365769230761</v>
      </c>
      <c r="M80" s="53">
        <f>6.28*S82</f>
        <v>2.6569230769230772</v>
      </c>
      <c r="N80" s="53">
        <f>L80-M80</f>
        <v>61296.708846153837</v>
      </c>
      <c r="O80" s="53">
        <v>0</v>
      </c>
      <c r="P80" s="53">
        <v>0</v>
      </c>
      <c r="Q80" s="53">
        <f>N80-O80-P80</f>
        <v>61296.708846153837</v>
      </c>
      <c r="T80" s="53"/>
    </row>
    <row r="81" spans="1:20" ht="12.75" customHeight="1">
      <c r="A81" s="47"/>
      <c r="B81" s="48"/>
      <c r="C81" s="48"/>
      <c r="D81" s="43"/>
      <c r="E81" s="173"/>
      <c r="F81" s="43"/>
      <c r="O81" s="53"/>
      <c r="P81" s="53"/>
      <c r="Q81" s="53"/>
    </row>
    <row r="82" spans="1:20" s="50" customFormat="1" ht="12.75" customHeight="1">
      <c r="A82" s="57" t="str">
        <f>"TOTAL " &amp; A73</f>
        <v>TOTAL SCHOOL DEBT</v>
      </c>
      <c r="B82" s="51">
        <f>B$75</f>
        <v>0.55000000000000004</v>
      </c>
      <c r="C82" s="51">
        <v>0</v>
      </c>
      <c r="D82" s="78">
        <f t="shared" ref="D82:Q82" si="24">SUM(D75:D77,D79:D80)</f>
        <v>12371</v>
      </c>
      <c r="E82" s="206"/>
      <c r="F82" s="78">
        <f t="shared" si="24"/>
        <v>1251367488.9118178</v>
      </c>
      <c r="G82" s="79">
        <f t="shared" si="24"/>
        <v>432213.96730769239</v>
      </c>
      <c r="H82" s="79">
        <f t="shared" si="24"/>
        <v>6515329.3359615384</v>
      </c>
      <c r="I82" s="79">
        <f t="shared" si="24"/>
        <v>0</v>
      </c>
      <c r="J82" s="79">
        <f t="shared" si="24"/>
        <v>64442.74384615384</v>
      </c>
      <c r="K82" s="79">
        <f t="shared" si="24"/>
        <v>110.69</v>
      </c>
      <c r="L82" s="79">
        <f t="shared" si="24"/>
        <v>6883211.2494230764</v>
      </c>
      <c r="M82" s="79">
        <f t="shared" si="24"/>
        <v>772267.04884615389</v>
      </c>
      <c r="N82" s="79">
        <f t="shared" si="24"/>
        <v>6110944.2005769229</v>
      </c>
      <c r="O82" s="79">
        <f t="shared" si="24"/>
        <v>0</v>
      </c>
      <c r="P82" s="79">
        <f t="shared" si="24"/>
        <v>18207.872692307694</v>
      </c>
      <c r="Q82" s="79">
        <f t="shared" si="24"/>
        <v>6092736.3278846154</v>
      </c>
      <c r="S82" s="183">
        <f>B82/B84</f>
        <v>0.42307692307692307</v>
      </c>
      <c r="T82" s="59">
        <f>+Q68+Q80</f>
        <v>144883.12999999998</v>
      </c>
    </row>
    <row r="83" spans="1:20" ht="12.75" customHeight="1">
      <c r="A83" s="47"/>
      <c r="B83" s="48"/>
      <c r="C83" s="48"/>
      <c r="D83" s="43"/>
      <c r="E83" s="173"/>
      <c r="F83" s="43"/>
      <c r="O83" s="53"/>
      <c r="P83" s="53"/>
      <c r="Q83" s="53"/>
    </row>
    <row r="84" spans="1:20" s="50" customFormat="1" ht="12.75" customHeight="1" thickBot="1">
      <c r="A84" s="60" t="s">
        <v>34</v>
      </c>
      <c r="B84" s="68">
        <f>B70+B82</f>
        <v>1.3</v>
      </c>
      <c r="C84" s="68">
        <f>C70+C82</f>
        <v>0</v>
      </c>
      <c r="D84" s="69">
        <f>D70</f>
        <v>12371</v>
      </c>
      <c r="E84" s="204"/>
      <c r="F84" s="69">
        <f>F70</f>
        <v>1251367312.0633333</v>
      </c>
      <c r="G84" s="70">
        <f t="shared" ref="G84:Q84" si="25">G70+G82</f>
        <v>1021596.65</v>
      </c>
      <c r="H84" s="70">
        <f t="shared" si="25"/>
        <v>15399877.824999999</v>
      </c>
      <c r="I84" s="70">
        <f t="shared" si="25"/>
        <v>0</v>
      </c>
      <c r="J84" s="70">
        <f t="shared" si="25"/>
        <v>152319.21</v>
      </c>
      <c r="K84" s="70">
        <f t="shared" si="25"/>
        <v>261.61</v>
      </c>
      <c r="L84" s="70">
        <f t="shared" si="25"/>
        <v>16269416.875</v>
      </c>
      <c r="M84" s="70">
        <f t="shared" si="25"/>
        <v>1825357.4300000002</v>
      </c>
      <c r="N84" s="70">
        <f t="shared" si="25"/>
        <v>14444059.445</v>
      </c>
      <c r="O84" s="70">
        <f t="shared" si="25"/>
        <v>0</v>
      </c>
      <c r="P84" s="70">
        <f t="shared" si="25"/>
        <v>43036.79</v>
      </c>
      <c r="Q84" s="70">
        <f t="shared" si="25"/>
        <v>14401022.654999999</v>
      </c>
      <c r="S84" s="80"/>
    </row>
    <row r="85" spans="1:20" ht="12.75" customHeight="1">
      <c r="A85" s="150" t="s">
        <v>355</v>
      </c>
      <c r="B85" s="48"/>
      <c r="C85" s="48"/>
      <c r="D85" s="64"/>
      <c r="E85" s="175"/>
      <c r="F85" s="64">
        <v>1251410848</v>
      </c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20" ht="12.75" customHeight="1">
      <c r="A86" s="151" t="s">
        <v>30</v>
      </c>
      <c r="B86" s="48"/>
      <c r="C86" s="48"/>
      <c r="D86" s="152"/>
      <c r="E86" s="77"/>
      <c r="F86" s="152">
        <f>(F70-F85)</f>
        <v>-43535.936666727066</v>
      </c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20" ht="12.75" customHeight="1">
      <c r="A87" s="54" t="s">
        <v>282</v>
      </c>
      <c r="B87" s="48"/>
      <c r="C87" s="48"/>
      <c r="D87" s="43"/>
      <c r="E87" s="173"/>
      <c r="F87" s="43"/>
      <c r="G87" s="64"/>
      <c r="O87" s="43"/>
      <c r="P87" s="43"/>
      <c r="Q87" s="43"/>
    </row>
    <row r="88" spans="1:20" ht="12.75" customHeight="1">
      <c r="A88" s="50"/>
      <c r="B88" s="51"/>
      <c r="C88" s="51"/>
      <c r="D88" s="52"/>
      <c r="E88" s="65">
        <v>7045964</v>
      </c>
      <c r="F88" s="53"/>
      <c r="O88" s="43"/>
      <c r="P88" s="43"/>
      <c r="Q88" s="43"/>
    </row>
    <row r="89" spans="1:20" ht="12.75" customHeight="1">
      <c r="A89" s="49" t="s">
        <v>15</v>
      </c>
      <c r="B89" s="48">
        <v>0.79710000000000003</v>
      </c>
      <c r="C89" s="48">
        <v>0</v>
      </c>
      <c r="D89" s="43">
        <v>3678</v>
      </c>
      <c r="E89" s="173">
        <f>+G89/B89*100</f>
        <v>4742126.458411742</v>
      </c>
      <c r="F89" s="43">
        <v>291377091</v>
      </c>
      <c r="G89" s="53">
        <v>37799.49</v>
      </c>
      <c r="H89" s="53">
        <v>2307334.02</v>
      </c>
      <c r="I89" s="53">
        <v>0</v>
      </c>
      <c r="J89" s="53">
        <v>22087.35</v>
      </c>
      <c r="K89" s="53">
        <v>125.62</v>
      </c>
      <c r="L89" s="53">
        <f>G89+H89+I89-J89+K89</f>
        <v>2323171.7800000003</v>
      </c>
      <c r="M89" s="53">
        <v>273421.03000000003</v>
      </c>
      <c r="N89" s="53">
        <f>L89-M89</f>
        <v>2049750.7500000002</v>
      </c>
      <c r="O89" s="53">
        <v>0</v>
      </c>
      <c r="P89" s="53">
        <v>0</v>
      </c>
      <c r="Q89" s="53">
        <f>N89-O89-P89</f>
        <v>2049750.7500000002</v>
      </c>
    </row>
    <row r="90" spans="1:20" ht="12.75" customHeight="1">
      <c r="A90" s="47" t="s">
        <v>16</v>
      </c>
      <c r="B90" s="48">
        <f>B$89</f>
        <v>0.79710000000000003</v>
      </c>
      <c r="C90" s="48">
        <f>C$89</f>
        <v>0</v>
      </c>
      <c r="D90" s="43"/>
      <c r="E90" s="173"/>
      <c r="F90" s="65">
        <f>IF(E88&gt;E89,E88-E89,0)</f>
        <v>2303837.541588258</v>
      </c>
      <c r="G90" s="53">
        <f>F90*(B90-C90)/100</f>
        <v>18363.889044000007</v>
      </c>
      <c r="I90" s="53">
        <f>F90*C90/100</f>
        <v>0</v>
      </c>
      <c r="L90" s="53">
        <f>G90+H90+I90-J90+K90</f>
        <v>18363.889044000007</v>
      </c>
      <c r="N90" s="53">
        <f>L90-M90</f>
        <v>18363.889044000007</v>
      </c>
      <c r="O90" s="53"/>
      <c r="P90" s="53"/>
      <c r="Q90" s="53">
        <f>N90-O90-P90</f>
        <v>18363.889044000007</v>
      </c>
    </row>
    <row r="91" spans="1:20" ht="12.75" customHeight="1">
      <c r="A91" s="47" t="s">
        <v>17</v>
      </c>
      <c r="B91" s="48">
        <f t="shared" ref="B91:C94" si="26">B$89</f>
        <v>0.79710000000000003</v>
      </c>
      <c r="C91" s="48">
        <f t="shared" si="26"/>
        <v>0</v>
      </c>
      <c r="D91" s="43"/>
      <c r="E91" s="173"/>
      <c r="F91" s="66">
        <v>16500137</v>
      </c>
      <c r="H91" s="53">
        <f>F91*(B91-C91)/100</f>
        <v>131522.59202700001</v>
      </c>
      <c r="I91" s="53">
        <f>F91*C91/100</f>
        <v>0</v>
      </c>
      <c r="J91" s="53">
        <v>0</v>
      </c>
      <c r="K91" s="53">
        <v>0</v>
      </c>
      <c r="L91" s="53">
        <f>G91+H91+I91-J91+K91</f>
        <v>131522.59202700001</v>
      </c>
      <c r="M91" s="53">
        <v>0</v>
      </c>
      <c r="N91" s="53">
        <f>L91-M91</f>
        <v>131522.59202700001</v>
      </c>
      <c r="O91" s="53">
        <v>0</v>
      </c>
      <c r="P91" s="53">
        <v>0</v>
      </c>
      <c r="Q91" s="53">
        <f>N91-O91-P91</f>
        <v>131522.59202700001</v>
      </c>
    </row>
    <row r="92" spans="1:20" ht="12.75" customHeight="1">
      <c r="A92" s="47" t="s">
        <v>18</v>
      </c>
      <c r="B92" s="48"/>
      <c r="C92" s="48"/>
      <c r="D92" s="43"/>
      <c r="E92" s="173"/>
      <c r="F92" s="43"/>
      <c r="O92" s="53"/>
      <c r="P92" s="53"/>
      <c r="Q92" s="53"/>
    </row>
    <row r="93" spans="1:20" ht="12.75" customHeight="1">
      <c r="A93" s="67" t="s">
        <v>19</v>
      </c>
      <c r="B93" s="48">
        <f t="shared" si="26"/>
        <v>0.79710000000000003</v>
      </c>
      <c r="C93" s="48">
        <f t="shared" si="26"/>
        <v>0</v>
      </c>
      <c r="D93" s="43"/>
      <c r="E93" s="173"/>
      <c r="F93" s="43">
        <v>12083619.210000001</v>
      </c>
      <c r="G93" s="53">
        <v>158385.04</v>
      </c>
      <c r="H93" s="53">
        <v>62026.42</v>
      </c>
      <c r="I93" s="53">
        <v>0</v>
      </c>
      <c r="J93" s="53">
        <v>5031.97</v>
      </c>
      <c r="K93" s="53">
        <v>0</v>
      </c>
      <c r="L93" s="53">
        <f>G93+H93+I93-J93+K93</f>
        <v>215379.49000000002</v>
      </c>
      <c r="M93" s="53">
        <v>3334.45</v>
      </c>
      <c r="N93" s="53">
        <f>L93-M93</f>
        <v>212045.04</v>
      </c>
      <c r="O93" s="53">
        <v>0</v>
      </c>
      <c r="P93" s="53">
        <v>0</v>
      </c>
      <c r="Q93" s="53">
        <f>N93-O93-P93</f>
        <v>212045.04</v>
      </c>
    </row>
    <row r="94" spans="1:20" ht="12.75" customHeight="1">
      <c r="A94" s="67" t="s">
        <v>20</v>
      </c>
      <c r="B94" s="48">
        <f t="shared" si="26"/>
        <v>0.79710000000000003</v>
      </c>
      <c r="C94" s="48">
        <f t="shared" si="26"/>
        <v>0</v>
      </c>
      <c r="D94" s="43"/>
      <c r="E94" s="173"/>
      <c r="F94" s="43">
        <v>340806.9</v>
      </c>
      <c r="G94" s="53">
        <v>2483.17</v>
      </c>
      <c r="H94" s="53">
        <v>233.34</v>
      </c>
      <c r="I94" s="53">
        <v>0</v>
      </c>
      <c r="L94" s="53">
        <f>G94+H94+I94-J94+K94</f>
        <v>2716.51</v>
      </c>
      <c r="M94" s="53">
        <v>0.08</v>
      </c>
      <c r="N94" s="53">
        <f>L94-M94</f>
        <v>2716.4300000000003</v>
      </c>
      <c r="O94" s="53">
        <v>0</v>
      </c>
      <c r="P94" s="53">
        <v>0</v>
      </c>
      <c r="Q94" s="53">
        <f>N94-O94-P94</f>
        <v>2716.4300000000003</v>
      </c>
    </row>
    <row r="95" spans="1:20" ht="12.75" customHeight="1">
      <c r="A95" s="47"/>
      <c r="B95" s="48"/>
      <c r="C95" s="48"/>
      <c r="D95" s="43"/>
      <c r="E95" s="173"/>
      <c r="F95" s="43"/>
      <c r="O95" s="53"/>
      <c r="P95" s="53"/>
      <c r="Q95" s="53"/>
    </row>
    <row r="96" spans="1:20" s="50" customFormat="1" ht="12.75" customHeight="1" thickBot="1">
      <c r="A96" s="60" t="str">
        <f>"TOTAL " &amp; A87</f>
        <v>TOTAL CITY OF FALLON</v>
      </c>
      <c r="B96" s="68">
        <f>B$89</f>
        <v>0.79710000000000003</v>
      </c>
      <c r="C96" s="68">
        <f>C$89</f>
        <v>0</v>
      </c>
      <c r="D96" s="69">
        <f t="shared" ref="D96:Q96" si="27">SUM(D89:D91,D93:D94)</f>
        <v>3678</v>
      </c>
      <c r="E96" s="204"/>
      <c r="F96" s="69">
        <f t="shared" si="27"/>
        <v>322605491.6515882</v>
      </c>
      <c r="G96" s="70">
        <f>SUM(G89:G91,G93:G94)</f>
        <v>217031.58904400002</v>
      </c>
      <c r="H96" s="70">
        <f t="shared" si="27"/>
        <v>2501116.3720269999</v>
      </c>
      <c r="I96" s="70">
        <f t="shared" si="27"/>
        <v>0</v>
      </c>
      <c r="J96" s="70">
        <f t="shared" si="27"/>
        <v>27119.32</v>
      </c>
      <c r="K96" s="70">
        <f t="shared" si="27"/>
        <v>125.62</v>
      </c>
      <c r="L96" s="70">
        <f t="shared" si="27"/>
        <v>2691154.2610710002</v>
      </c>
      <c r="M96" s="70">
        <f t="shared" si="27"/>
        <v>276755.56000000006</v>
      </c>
      <c r="N96" s="70">
        <f t="shared" si="27"/>
        <v>2414398.7010710007</v>
      </c>
      <c r="O96" s="70">
        <f t="shared" si="27"/>
        <v>0</v>
      </c>
      <c r="P96" s="70">
        <f t="shared" si="27"/>
        <v>0</v>
      </c>
      <c r="Q96" s="70">
        <f t="shared" si="27"/>
        <v>2414398.7010710007</v>
      </c>
    </row>
    <row r="97" spans="1:17" ht="12.75" customHeight="1">
      <c r="A97" s="150" t="s">
        <v>355</v>
      </c>
      <c r="B97" s="48"/>
      <c r="C97" s="48"/>
      <c r="D97" s="64"/>
      <c r="E97" s="175"/>
      <c r="F97" s="64">
        <v>322014625</v>
      </c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ht="12.75" customHeight="1">
      <c r="A98" s="151" t="s">
        <v>30</v>
      </c>
      <c r="B98" s="48"/>
      <c r="C98" s="48"/>
      <c r="D98" s="152"/>
      <c r="E98" s="77"/>
      <c r="F98" s="152">
        <f>F96-F97</f>
        <v>590866.65158820152</v>
      </c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ht="12.75" customHeight="1">
      <c r="A99" s="54" t="s">
        <v>283</v>
      </c>
      <c r="B99" s="51"/>
      <c r="C99" s="51"/>
      <c r="D99" s="52"/>
      <c r="E99" s="203"/>
      <c r="F99" s="52"/>
      <c r="G99" s="64"/>
      <c r="O99" s="43"/>
      <c r="P99" s="43"/>
      <c r="Q99" s="43"/>
    </row>
    <row r="100" spans="1:17" ht="12.75" customHeight="1">
      <c r="A100" s="47"/>
      <c r="B100" s="48"/>
      <c r="C100" s="48"/>
      <c r="D100" s="43"/>
      <c r="E100" s="65">
        <v>45601490</v>
      </c>
      <c r="F100" s="43"/>
      <c r="O100" s="43"/>
      <c r="P100" s="43"/>
      <c r="Q100" s="43"/>
    </row>
    <row r="101" spans="1:17" ht="12.75" customHeight="1">
      <c r="A101" s="49" t="s">
        <v>15</v>
      </c>
      <c r="B101" s="48">
        <v>0.08</v>
      </c>
      <c r="C101" s="48">
        <v>0</v>
      </c>
      <c r="D101" s="43">
        <v>12371</v>
      </c>
      <c r="E101" s="173">
        <f>G101/B101*100</f>
        <v>14009262.5</v>
      </c>
      <c r="F101" s="43">
        <v>906434426</v>
      </c>
      <c r="G101" s="53">
        <v>11207.41</v>
      </c>
      <c r="H101" s="53">
        <v>721467.98</v>
      </c>
      <c r="I101" s="53">
        <v>0</v>
      </c>
      <c r="J101" s="53">
        <v>7443.93</v>
      </c>
      <c r="K101" s="53">
        <v>16.100000000000001</v>
      </c>
      <c r="L101" s="53">
        <f>G101+H101+I101-J101+K101</f>
        <v>725247.55999999994</v>
      </c>
      <c r="M101" s="53">
        <v>108538.46</v>
      </c>
      <c r="N101" s="53">
        <f>L101-M101</f>
        <v>616709.1</v>
      </c>
      <c r="O101" s="53">
        <v>0</v>
      </c>
      <c r="P101" s="53">
        <v>0</v>
      </c>
      <c r="Q101" s="53">
        <f>N101-O101-P101</f>
        <v>616709.1</v>
      </c>
    </row>
    <row r="102" spans="1:17" ht="12.75" customHeight="1">
      <c r="A102" s="47" t="s">
        <v>16</v>
      </c>
      <c r="B102" s="48">
        <f>B$101</f>
        <v>0.08</v>
      </c>
      <c r="C102" s="48">
        <f>C$101</f>
        <v>0</v>
      </c>
      <c r="D102" s="43"/>
      <c r="E102" s="173"/>
      <c r="F102" s="65">
        <f>IF(E100&gt;E101,E100-E101,0)</f>
        <v>31592227.5</v>
      </c>
      <c r="G102" s="53">
        <f>F102*(B102-C102)/100</f>
        <v>25273.782000000003</v>
      </c>
      <c r="I102" s="53">
        <f>F102*C102/100</f>
        <v>0</v>
      </c>
      <c r="L102" s="53">
        <f>G102+H102+I102-J102+K102</f>
        <v>25273.782000000003</v>
      </c>
      <c r="N102" s="53">
        <f>L102-M102</f>
        <v>25273.782000000003</v>
      </c>
      <c r="O102" s="53"/>
      <c r="P102" s="53"/>
      <c r="Q102" s="53">
        <f>N102-O102-P102</f>
        <v>25273.782000000003</v>
      </c>
    </row>
    <row r="103" spans="1:17" ht="12.75" customHeight="1">
      <c r="A103" s="47" t="s">
        <v>17</v>
      </c>
      <c r="B103" s="48">
        <f t="shared" ref="B103:C106" si="28">B$101</f>
        <v>0.08</v>
      </c>
      <c r="C103" s="48">
        <f t="shared" si="28"/>
        <v>0</v>
      </c>
      <c r="D103" s="43"/>
      <c r="E103" s="173"/>
      <c r="F103" s="66">
        <v>203953955</v>
      </c>
      <c r="H103" s="53">
        <f>F103*(B103-C103)/100</f>
        <v>163163.16399999999</v>
      </c>
      <c r="I103" s="53">
        <f>F103*C103/100</f>
        <v>0</v>
      </c>
      <c r="J103" s="53">
        <v>0</v>
      </c>
      <c r="K103" s="53">
        <v>0</v>
      </c>
      <c r="L103" s="53">
        <f>G103+H103+I103-J103+K103</f>
        <v>163163.16399999999</v>
      </c>
      <c r="N103" s="53">
        <f>L103-M103</f>
        <v>163163.16399999999</v>
      </c>
      <c r="O103" s="53">
        <v>0</v>
      </c>
      <c r="P103" s="53">
        <v>0</v>
      </c>
      <c r="Q103" s="53">
        <f>N103-O103-P103</f>
        <v>163163.16399999999</v>
      </c>
    </row>
    <row r="104" spans="1:17" ht="12.75" customHeight="1">
      <c r="A104" s="47" t="s">
        <v>18</v>
      </c>
      <c r="B104" s="48"/>
      <c r="C104" s="48"/>
      <c r="D104" s="43"/>
      <c r="E104" s="173"/>
      <c r="F104" s="43"/>
      <c r="O104" s="53"/>
      <c r="P104" s="53"/>
      <c r="Q104" s="53"/>
    </row>
    <row r="105" spans="1:17" ht="12.75" customHeight="1">
      <c r="A105" s="67" t="s">
        <v>19</v>
      </c>
      <c r="B105" s="48">
        <f t="shared" si="28"/>
        <v>0.08</v>
      </c>
      <c r="C105" s="48">
        <f t="shared" si="28"/>
        <v>0</v>
      </c>
      <c r="D105" s="43"/>
      <c r="E105" s="173"/>
      <c r="F105" s="43">
        <v>100651711.98999999</v>
      </c>
      <c r="G105" s="53">
        <v>17663.3</v>
      </c>
      <c r="H105" s="53">
        <v>62859.6</v>
      </c>
      <c r="I105" s="53">
        <v>0</v>
      </c>
      <c r="J105" s="53">
        <v>1929.66</v>
      </c>
      <c r="K105" s="53">
        <v>0</v>
      </c>
      <c r="L105" s="53">
        <f>G105+H105+I105-J105+K105</f>
        <v>78593.239999999991</v>
      </c>
      <c r="M105" s="53">
        <v>3789.74</v>
      </c>
      <c r="N105" s="53">
        <f>L105-M105</f>
        <v>74803.499999999985</v>
      </c>
      <c r="O105" s="53">
        <v>0</v>
      </c>
      <c r="P105" s="53">
        <v>2648.42</v>
      </c>
      <c r="Q105" s="53">
        <f>N105-O105-P105</f>
        <v>72155.079999999987</v>
      </c>
    </row>
    <row r="106" spans="1:17" ht="12.75" customHeight="1">
      <c r="A106" s="67" t="s">
        <v>20</v>
      </c>
      <c r="B106" s="48">
        <f t="shared" si="28"/>
        <v>0.08</v>
      </c>
      <c r="C106" s="48">
        <f t="shared" si="28"/>
        <v>0</v>
      </c>
      <c r="D106" s="43"/>
      <c r="E106" s="173"/>
      <c r="F106" s="43">
        <v>11145344.609999999</v>
      </c>
      <c r="G106" s="53">
        <v>8722.9500000000007</v>
      </c>
      <c r="H106" s="53">
        <v>193.18</v>
      </c>
      <c r="I106" s="53">
        <v>0</v>
      </c>
      <c r="J106" s="53">
        <v>0</v>
      </c>
      <c r="K106" s="53">
        <v>0</v>
      </c>
      <c r="L106" s="53">
        <f>G106+H106+I106-J106+K106</f>
        <v>8916.130000000001</v>
      </c>
      <c r="M106" s="53">
        <v>0.4</v>
      </c>
      <c r="N106" s="53">
        <f>L106-M106</f>
        <v>8915.7300000000014</v>
      </c>
      <c r="O106" s="53">
        <v>0</v>
      </c>
      <c r="P106" s="53"/>
      <c r="Q106" s="53">
        <f>N106-O106-P106</f>
        <v>8915.7300000000014</v>
      </c>
    </row>
    <row r="107" spans="1:17" ht="12.75" customHeight="1">
      <c r="A107" s="47"/>
      <c r="B107" s="48"/>
      <c r="C107" s="48"/>
      <c r="D107" s="43"/>
      <c r="E107" s="173"/>
      <c r="F107" s="43"/>
      <c r="O107" s="53"/>
      <c r="P107" s="53"/>
      <c r="Q107" s="53"/>
    </row>
    <row r="108" spans="1:17" s="50" customFormat="1" ht="12.75" customHeight="1" thickBot="1">
      <c r="A108" s="60" t="str">
        <f>"TOTAL " &amp; A99</f>
        <v>TOTAL CHURCHILL CO. MOSQUITO DISTRICT</v>
      </c>
      <c r="B108" s="68">
        <f>B$101</f>
        <v>0.08</v>
      </c>
      <c r="C108" s="68">
        <f>C$101</f>
        <v>0</v>
      </c>
      <c r="D108" s="69">
        <f t="shared" ref="D108:Q108" si="29">SUM(D101:D103,D105:D106)</f>
        <v>12371</v>
      </c>
      <c r="E108" s="204"/>
      <c r="F108" s="69">
        <f t="shared" si="29"/>
        <v>1253777665.0999999</v>
      </c>
      <c r="G108" s="70">
        <f t="shared" si="29"/>
        <v>62867.441999999995</v>
      </c>
      <c r="H108" s="70">
        <f t="shared" si="29"/>
        <v>947683.924</v>
      </c>
      <c r="I108" s="70">
        <f t="shared" si="29"/>
        <v>0</v>
      </c>
      <c r="J108" s="70">
        <f t="shared" si="29"/>
        <v>9373.59</v>
      </c>
      <c r="K108" s="70">
        <f t="shared" si="29"/>
        <v>16.100000000000001</v>
      </c>
      <c r="L108" s="70">
        <f t="shared" si="29"/>
        <v>1001193.8759999999</v>
      </c>
      <c r="M108" s="70">
        <f t="shared" si="29"/>
        <v>112328.6</v>
      </c>
      <c r="N108" s="70">
        <f t="shared" si="29"/>
        <v>888865.27599999995</v>
      </c>
      <c r="O108" s="70">
        <f t="shared" si="29"/>
        <v>0</v>
      </c>
      <c r="P108" s="70">
        <f t="shared" si="29"/>
        <v>2648.42</v>
      </c>
      <c r="Q108" s="70">
        <f t="shared" si="29"/>
        <v>886216.85599999991</v>
      </c>
    </row>
    <row r="109" spans="1:17" ht="12.75" customHeight="1">
      <c r="A109" s="150" t="s">
        <v>355</v>
      </c>
      <c r="B109" s="48"/>
      <c r="C109" s="48"/>
      <c r="D109" s="64"/>
      <c r="E109" s="175"/>
      <c r="F109" s="64">
        <v>1251410848</v>
      </c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ht="12.75" customHeight="1">
      <c r="A110" s="151" t="s">
        <v>30</v>
      </c>
      <c r="B110" s="48"/>
      <c r="C110" s="48"/>
      <c r="D110" s="152"/>
      <c r="E110" s="77"/>
      <c r="F110" s="152">
        <f>F108-F109</f>
        <v>2366817.0999999046</v>
      </c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  <row r="111" spans="1:17" ht="12.75" customHeight="1">
      <c r="A111" s="154" t="s">
        <v>36</v>
      </c>
      <c r="B111" s="48"/>
      <c r="C111" s="48"/>
      <c r="D111" s="43"/>
      <c r="E111" s="173"/>
      <c r="F111" s="43"/>
      <c r="G111" s="64"/>
      <c r="O111" s="43"/>
      <c r="P111" s="43"/>
      <c r="Q111" s="43"/>
    </row>
    <row r="112" spans="1:17" ht="12.75" customHeight="1">
      <c r="A112" s="47"/>
      <c r="B112" s="48"/>
      <c r="C112" s="48"/>
      <c r="D112" s="43"/>
      <c r="E112" s="65">
        <v>37693793</v>
      </c>
      <c r="F112" s="43"/>
      <c r="O112" s="43"/>
      <c r="P112" s="43"/>
      <c r="Q112" s="43"/>
    </row>
    <row r="113" spans="1:17" ht="12.75" customHeight="1">
      <c r="A113" s="49" t="s">
        <v>15</v>
      </c>
      <c r="B113" s="48">
        <v>0.03</v>
      </c>
      <c r="C113" s="48">
        <v>0</v>
      </c>
      <c r="D113" s="43">
        <v>11877</v>
      </c>
      <c r="E113" s="173">
        <f>+G113/B113*100</f>
        <v>13976933.333333334</v>
      </c>
      <c r="F113" s="43">
        <v>899051883</v>
      </c>
      <c r="G113" s="53">
        <v>4193.08</v>
      </c>
      <c r="H113" s="53">
        <v>268346.09999999998</v>
      </c>
      <c r="I113" s="53">
        <v>0</v>
      </c>
      <c r="J113" s="53">
        <v>2791.54</v>
      </c>
      <c r="K113" s="53">
        <v>5.78</v>
      </c>
      <c r="L113" s="53">
        <f>G113+H113+I113-J113+K113</f>
        <v>269753.42000000004</v>
      </c>
      <c r="M113" s="53">
        <v>40160.04</v>
      </c>
      <c r="N113" s="53">
        <f>L113-M113</f>
        <v>229593.38000000003</v>
      </c>
      <c r="O113" s="53">
        <v>0</v>
      </c>
      <c r="P113" s="53">
        <v>0</v>
      </c>
      <c r="Q113" s="53">
        <f>N113-O113-P113</f>
        <v>229593.38000000003</v>
      </c>
    </row>
    <row r="114" spans="1:17" ht="12.75" customHeight="1">
      <c r="A114" s="47" t="s">
        <v>16</v>
      </c>
      <c r="B114" s="48">
        <f>B$113</f>
        <v>0.03</v>
      </c>
      <c r="C114" s="48">
        <f>C$113</f>
        <v>0</v>
      </c>
      <c r="D114" s="43"/>
      <c r="E114" s="173"/>
      <c r="F114" s="65">
        <f>IF(E112&gt;E113,E112-E113,0)</f>
        <v>23716859.666666664</v>
      </c>
      <c r="G114" s="53">
        <f>F114*(B114-C114)/100</f>
        <v>7115.0578999999989</v>
      </c>
      <c r="I114" s="53">
        <f>F114*C114/100</f>
        <v>0</v>
      </c>
      <c r="L114" s="53">
        <f>G114+H114+I114-J114+K114</f>
        <v>7115.0578999999989</v>
      </c>
      <c r="N114" s="53">
        <f>L114-M114</f>
        <v>7115.0578999999989</v>
      </c>
      <c r="O114" s="53"/>
      <c r="P114" s="53"/>
      <c r="Q114" s="53">
        <f>N114-O114-P114</f>
        <v>7115.0578999999989</v>
      </c>
    </row>
    <row r="115" spans="1:17" ht="12.75" customHeight="1">
      <c r="A115" s="47" t="s">
        <v>17</v>
      </c>
      <c r="B115" s="48">
        <f t="shared" ref="B115:C118" si="30">B$113</f>
        <v>0.03</v>
      </c>
      <c r="C115" s="48">
        <f t="shared" si="30"/>
        <v>0</v>
      </c>
      <c r="D115" s="43"/>
      <c r="E115" s="173"/>
      <c r="F115" s="66">
        <v>142768788</v>
      </c>
      <c r="H115" s="53">
        <f>F115*(B115-C115)/100</f>
        <v>42830.636399999996</v>
      </c>
      <c r="I115" s="53">
        <f>F115*C115/100</f>
        <v>0</v>
      </c>
      <c r="J115" s="53">
        <v>0</v>
      </c>
      <c r="K115" s="53">
        <v>0</v>
      </c>
      <c r="L115" s="53">
        <f>G115+H115+I115-J115+K115</f>
        <v>42830.636399999996</v>
      </c>
      <c r="M115" s="53">
        <v>0</v>
      </c>
      <c r="N115" s="53">
        <f>L115-M115</f>
        <v>42830.636399999996</v>
      </c>
      <c r="O115" s="53">
        <v>0</v>
      </c>
      <c r="P115" s="53">
        <v>0</v>
      </c>
      <c r="Q115" s="53">
        <f>N115-O115-P115</f>
        <v>42830.636399999996</v>
      </c>
    </row>
    <row r="116" spans="1:17" ht="12.75" customHeight="1">
      <c r="A116" s="47" t="s">
        <v>18</v>
      </c>
      <c r="B116" s="48"/>
      <c r="C116" s="48"/>
      <c r="D116" s="43"/>
      <c r="E116" s="173"/>
      <c r="F116" s="43"/>
      <c r="O116" s="53"/>
      <c r="P116" s="53"/>
      <c r="Q116" s="53"/>
    </row>
    <row r="117" spans="1:17" ht="12.75" customHeight="1">
      <c r="A117" s="67" t="s">
        <v>19</v>
      </c>
      <c r="B117" s="48">
        <f t="shared" si="30"/>
        <v>0.03</v>
      </c>
      <c r="C117" s="48">
        <f t="shared" si="30"/>
        <v>0</v>
      </c>
      <c r="D117" s="43"/>
      <c r="E117" s="173"/>
      <c r="F117" s="43">
        <v>100652918.04000001</v>
      </c>
      <c r="G117" s="53">
        <v>6623.75</v>
      </c>
      <c r="H117" s="53">
        <v>23572.36</v>
      </c>
      <c r="I117" s="53">
        <v>0</v>
      </c>
      <c r="J117" s="53">
        <v>723.61</v>
      </c>
      <c r="L117" s="53">
        <f>G117+H117+I117-J117+K117</f>
        <v>29472.5</v>
      </c>
      <c r="M117" s="53">
        <v>1421.16</v>
      </c>
      <c r="N117" s="53">
        <f>L117-M117</f>
        <v>28051.34</v>
      </c>
      <c r="O117" s="53">
        <v>0</v>
      </c>
      <c r="P117" s="53">
        <v>993.16</v>
      </c>
      <c r="Q117" s="53">
        <f>N117-O117-P117</f>
        <v>27058.18</v>
      </c>
    </row>
    <row r="118" spans="1:17" ht="12.75" customHeight="1">
      <c r="A118" s="67" t="s">
        <v>20</v>
      </c>
      <c r="B118" s="48">
        <f t="shared" si="30"/>
        <v>0.03</v>
      </c>
      <c r="C118" s="48">
        <f t="shared" si="30"/>
        <v>0</v>
      </c>
      <c r="D118" s="43"/>
      <c r="E118" s="173"/>
      <c r="F118" s="43">
        <v>11145344.609999999</v>
      </c>
      <c r="G118" s="53">
        <v>3271.12</v>
      </c>
      <c r="H118" s="53">
        <v>72.31</v>
      </c>
      <c r="I118" s="53">
        <v>0</v>
      </c>
      <c r="J118" s="53">
        <v>0</v>
      </c>
      <c r="K118" s="53">
        <v>0</v>
      </c>
      <c r="L118" s="53">
        <f>G118+H118+I118-J118+K118</f>
        <v>3343.43</v>
      </c>
      <c r="M118" s="53">
        <v>0.12</v>
      </c>
      <c r="N118" s="53">
        <f>L118-M118</f>
        <v>3343.31</v>
      </c>
      <c r="O118" s="53">
        <v>0</v>
      </c>
      <c r="P118" s="53"/>
      <c r="Q118" s="53">
        <f>N118-O118-P118</f>
        <v>3343.31</v>
      </c>
    </row>
    <row r="119" spans="1:17" ht="12.75" customHeight="1">
      <c r="A119" s="47"/>
      <c r="B119" s="48"/>
      <c r="C119" s="48"/>
      <c r="D119" s="43"/>
      <c r="E119" s="173"/>
      <c r="F119" s="43"/>
      <c r="O119" s="53"/>
      <c r="P119" s="53"/>
      <c r="Q119" s="53"/>
    </row>
    <row r="120" spans="1:17" s="50" customFormat="1" ht="12.75" customHeight="1" thickBot="1">
      <c r="A120" s="60" t="str">
        <f>"TOTAL " &amp; A111</f>
        <v>TOTAL CARSON WATER SUBCONSERVANCY DISTRICT</v>
      </c>
      <c r="B120" s="68">
        <f>B$113</f>
        <v>0.03</v>
      </c>
      <c r="C120" s="68">
        <f>C$113</f>
        <v>0</v>
      </c>
      <c r="D120" s="69">
        <f t="shared" ref="D120:Q120" si="31">SUM(D113:D115,D117:D118)</f>
        <v>11877</v>
      </c>
      <c r="E120" s="204"/>
      <c r="F120" s="69">
        <f t="shared" si="31"/>
        <v>1177335793.3166666</v>
      </c>
      <c r="G120" s="70">
        <f t="shared" si="31"/>
        <v>21203.007899999997</v>
      </c>
      <c r="H120" s="70">
        <f t="shared" si="31"/>
        <v>334821.40639999998</v>
      </c>
      <c r="I120" s="70">
        <f t="shared" si="31"/>
        <v>0</v>
      </c>
      <c r="J120" s="70">
        <f t="shared" si="31"/>
        <v>3515.15</v>
      </c>
      <c r="K120" s="70">
        <f t="shared" si="31"/>
        <v>5.78</v>
      </c>
      <c r="L120" s="70">
        <f t="shared" si="31"/>
        <v>352515.04430000007</v>
      </c>
      <c r="M120" s="70">
        <f t="shared" si="31"/>
        <v>41581.320000000007</v>
      </c>
      <c r="N120" s="70">
        <f t="shared" si="31"/>
        <v>310933.72430000006</v>
      </c>
      <c r="O120" s="70">
        <f t="shared" si="31"/>
        <v>0</v>
      </c>
      <c r="P120" s="70">
        <f t="shared" si="31"/>
        <v>993.16</v>
      </c>
      <c r="Q120" s="70">
        <f t="shared" si="31"/>
        <v>309940.56430000003</v>
      </c>
    </row>
    <row r="121" spans="1:17" ht="12.75" customHeight="1">
      <c r="A121" s="150" t="s">
        <v>355</v>
      </c>
      <c r="B121" s="48"/>
      <c r="C121" s="48"/>
      <c r="D121" s="64"/>
      <c r="E121" s="175"/>
      <c r="F121" s="64">
        <v>1162566212</v>
      </c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</row>
    <row r="122" spans="1:17" ht="12.75" customHeight="1">
      <c r="A122" s="151" t="s">
        <v>30</v>
      </c>
      <c r="B122" s="48"/>
      <c r="C122" s="48"/>
      <c r="D122" s="152"/>
      <c r="E122" s="77"/>
      <c r="F122" s="152">
        <f>F120-F121</f>
        <v>14769581.316666603</v>
      </c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</row>
    <row r="123" spans="1:17" ht="12.75" customHeight="1">
      <c r="B123" s="51"/>
      <c r="C123" s="51"/>
      <c r="D123" s="52"/>
      <c r="E123" s="77"/>
      <c r="F123" s="52"/>
      <c r="O123" s="43"/>
      <c r="P123" s="43"/>
      <c r="Q123" s="43"/>
    </row>
    <row r="124" spans="1:17" ht="12.75" customHeight="1">
      <c r="A124" s="104"/>
      <c r="E124" s="203"/>
    </row>
    <row r="125" spans="1:17" ht="12.75" customHeight="1">
      <c r="A125" s="523"/>
    </row>
    <row r="129" spans="1:17" ht="12.75" customHeight="1">
      <c r="A129" s="50"/>
      <c r="B129" s="84"/>
      <c r="C129" s="84"/>
      <c r="D129" s="84"/>
      <c r="F129" s="84"/>
      <c r="G129" s="59"/>
    </row>
    <row r="130" spans="1:17" ht="12.75" customHeight="1">
      <c r="E130" s="210"/>
    </row>
    <row r="131" spans="1:17" ht="12.75" customHeight="1">
      <c r="A131" s="50"/>
      <c r="B131" s="50"/>
      <c r="C131" s="50"/>
      <c r="D131" s="50"/>
      <c r="F131" s="50"/>
      <c r="G131" s="59"/>
    </row>
    <row r="132" spans="1:17" ht="12.75" customHeight="1">
      <c r="E132" s="211"/>
    </row>
    <row r="136" spans="1:17" ht="12.75" customHeight="1">
      <c r="A136" s="83"/>
      <c r="B136" s="84"/>
      <c r="C136" s="84"/>
      <c r="D136" s="43"/>
      <c r="F136" s="43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4"/>
    </row>
    <row r="137" spans="1:17" ht="12.75" customHeight="1">
      <c r="E137" s="173"/>
    </row>
    <row r="138" spans="1:17" ht="12.75" customHeight="1">
      <c r="A138" s="50"/>
      <c r="B138" s="50"/>
      <c r="C138" s="50"/>
      <c r="D138" s="50"/>
      <c r="F138" s="50"/>
      <c r="G138" s="59"/>
    </row>
    <row r="139" spans="1:17" ht="12.75" customHeight="1">
      <c r="E139" s="211"/>
      <c r="F139" s="43"/>
    </row>
    <row r="143" spans="1:17" ht="12.75" customHeight="1">
      <c r="A143" s="83"/>
      <c r="B143" s="84"/>
      <c r="C143" s="84"/>
      <c r="D143" s="84"/>
      <c r="F143" s="84"/>
      <c r="G143" s="59"/>
    </row>
    <row r="144" spans="1:17" ht="12.75" customHeight="1">
      <c r="E144" s="210"/>
    </row>
    <row r="145" spans="1:7" ht="12.75" customHeight="1">
      <c r="A145" s="50"/>
      <c r="B145" s="50"/>
      <c r="C145" s="50"/>
      <c r="D145" s="50"/>
      <c r="F145" s="50"/>
      <c r="G145" s="59"/>
    </row>
    <row r="146" spans="1:7" ht="12.75" customHeight="1">
      <c r="E146" s="211"/>
    </row>
    <row r="150" spans="1:7" ht="12.75" customHeight="1">
      <c r="A150" s="83"/>
      <c r="B150" s="84"/>
      <c r="C150" s="84"/>
      <c r="D150" s="84"/>
      <c r="F150" s="84"/>
      <c r="G150" s="59"/>
    </row>
    <row r="151" spans="1:7" ht="12.75" customHeight="1">
      <c r="E151" s="210"/>
    </row>
    <row r="152" spans="1:7" ht="12.75" customHeight="1">
      <c r="A152" s="50"/>
      <c r="B152" s="50"/>
      <c r="C152" s="50"/>
      <c r="D152" s="50"/>
      <c r="F152" s="50"/>
      <c r="G152" s="59"/>
    </row>
    <row r="153" spans="1:7" ht="12.75" customHeight="1">
      <c r="E153" s="211"/>
    </row>
    <row r="158" spans="1:7" ht="12.75" customHeight="1">
      <c r="A158" s="83"/>
      <c r="B158" s="85"/>
      <c r="C158" s="85"/>
      <c r="D158" s="85"/>
      <c r="F158" s="85"/>
      <c r="G158" s="86"/>
    </row>
    <row r="159" spans="1:7" ht="12.75" customHeight="1">
      <c r="E159" s="212"/>
    </row>
  </sheetData>
  <customSheetViews>
    <customSheetView guid="{AE6F0488-1842-4C89-B05F-A836B633FB8F}" scale="75" showPageBreaks="1" hiddenColumns="1" showRuler="0">
      <pane xSplit="5" ySplit="3" topLeftCell="F4" activePane="bottomRight" state="frozen"/>
      <selection pane="bottomRight" activeCell="G30" sqref="G30"/>
      <rowBreaks count="2" manualBreakCount="2">
        <brk id="45" max="15" man="1"/>
        <brk id="90" max="15" man="1"/>
      </rowBreaks>
      <pageMargins left="0.17" right="0.16" top="0.91" bottom="0.71" header="0.4" footer="0.17"/>
      <pageSetup paperSize="5" scale="73" firstPageNumber="4" orientation="landscape" useFirstPageNumber="1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I18" activePane="bottomRight" state="frozen"/>
      <selection pane="bottomRight" activeCell="U13" sqref="U13"/>
      <rowBreaks count="3" manualBreakCount="3">
        <brk id="45" max="15" man="1"/>
        <brk id="90" max="15" man="1"/>
        <brk id="144" max="16383" man="1"/>
      </rowBreaks>
      <pageMargins left="0.17" right="0.16" top="0.91" bottom="0.9" header="0.4" footer="0.35"/>
      <pageSetup paperSize="5" scale="70" firstPageNumber="4" orientation="landscape" useFirstPageNumber="1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34" activePane="bottomRight" state="frozen"/>
      <selection pane="bottomRight" activeCell="F54" sqref="F54"/>
      <rowBreaks count="2" manualBreakCount="2">
        <brk id="45" max="15" man="1"/>
        <brk id="90" max="15" man="1"/>
      </rowBreaks>
      <pageMargins left="0.17" right="0.16" top="0.91" bottom="0.9" header="0.4" footer="0.35"/>
      <pageSetup paperSize="5" scale="70" firstPageNumber="4" orientation="landscape" useFirstPageNumber="1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8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2" manualBreakCount="2">
    <brk id="59" max="16" man="1"/>
    <brk id="98" max="16383" man="1"/>
  </rowBreaks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0.79998168889431442"/>
    <pageSetUpPr fitToPage="1"/>
  </sheetPr>
  <dimension ref="A1:X666"/>
  <sheetViews>
    <sheetView view="pageBreakPreview" zoomScale="64" zoomScaleNormal="78" zoomScaleSheetLayoutView="64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.75"/>
  <cols>
    <col min="1" max="1" width="39" style="49" customWidth="1"/>
    <col min="2" max="2" width="14" style="82" customWidth="1"/>
    <col min="3" max="3" width="10.28515625" style="82" customWidth="1"/>
    <col min="4" max="4" width="13" style="82" customWidth="1"/>
    <col min="5" max="5" width="17.42578125" style="209" hidden="1" customWidth="1"/>
    <col min="6" max="6" width="22.7109375" style="82" customWidth="1"/>
    <col min="7" max="7" width="20.28515625" style="53" customWidth="1"/>
    <col min="8" max="8" width="22.28515625" style="53" customWidth="1"/>
    <col min="9" max="9" width="13.5703125" style="53" customWidth="1"/>
    <col min="10" max="10" width="20.28515625" style="53" customWidth="1"/>
    <col min="11" max="11" width="14.85546875" style="53" customWidth="1"/>
    <col min="12" max="12" width="23.7109375" style="53" customWidth="1"/>
    <col min="13" max="13" width="22.28515625" style="53" customWidth="1"/>
    <col min="14" max="14" width="24" style="53" customWidth="1"/>
    <col min="15" max="15" width="18.28515625" style="53" customWidth="1"/>
    <col min="16" max="16" width="17.7109375" style="53" bestFit="1" customWidth="1"/>
    <col min="17" max="17" width="22.7109375" style="53" customWidth="1"/>
    <col min="18" max="18" width="2.28515625" style="49" customWidth="1"/>
    <col min="19" max="19" width="18" style="49" customWidth="1"/>
    <col min="20" max="20" width="16.28515625" style="49" customWidth="1"/>
    <col min="21" max="21" width="18.140625" style="49" customWidth="1"/>
    <col min="22" max="22" width="19" style="49" customWidth="1"/>
    <col min="23" max="23" width="9.140625" style="49"/>
    <col min="24" max="24" width="18.85546875" style="49" customWidth="1"/>
    <col min="25" max="16384" width="9.140625" style="49"/>
  </cols>
  <sheetData>
    <row r="1" spans="1:24" ht="23.25" customHeight="1">
      <c r="A1" s="522" t="s">
        <v>291</v>
      </c>
      <c r="B1" s="48"/>
      <c r="C1" s="48"/>
      <c r="D1" s="43"/>
      <c r="E1" s="173"/>
      <c r="F1" s="43"/>
    </row>
    <row r="2" spans="1:24" ht="15.75" customHeight="1">
      <c r="A2" s="54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4" s="9" customFormat="1" ht="92.2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4">
      <c r="A4" s="50"/>
      <c r="B4" s="51"/>
      <c r="C4" s="51"/>
      <c r="D4" s="52"/>
      <c r="E4" s="203"/>
      <c r="F4" s="52"/>
    </row>
    <row r="5" spans="1:24">
      <c r="A5" s="54" t="s">
        <v>10</v>
      </c>
      <c r="B5" s="51"/>
      <c r="C5" s="51"/>
      <c r="D5" s="52"/>
      <c r="E5" s="203"/>
      <c r="F5" s="52"/>
    </row>
    <row r="6" spans="1:24">
      <c r="A6" s="50"/>
      <c r="B6" s="51"/>
      <c r="C6" s="51"/>
      <c r="D6" s="52"/>
      <c r="E6" s="203"/>
      <c r="F6" s="52"/>
    </row>
    <row r="7" spans="1:24">
      <c r="A7" s="47" t="str">
        <f>A57</f>
        <v>STATE OF NEVADA</v>
      </c>
      <c r="B7" s="48">
        <f t="shared" ref="B7:Q7" si="0">B66</f>
        <v>0.17</v>
      </c>
      <c r="C7" s="48">
        <f t="shared" si="0"/>
        <v>0</v>
      </c>
      <c r="D7" s="43">
        <f t="shared" si="0"/>
        <v>860904</v>
      </c>
      <c r="E7" s="173"/>
      <c r="F7" s="43">
        <f t="shared" si="0"/>
        <v>181164136911.33234</v>
      </c>
      <c r="G7" s="53">
        <f t="shared" si="0"/>
        <v>6579672.9799999995</v>
      </c>
      <c r="H7" s="53">
        <f t="shared" si="0"/>
        <v>288370567.72999996</v>
      </c>
      <c r="I7" s="53">
        <f t="shared" si="0"/>
        <v>0</v>
      </c>
      <c r="J7" s="53">
        <f t="shared" si="0"/>
        <v>28048282.489999998</v>
      </c>
      <c r="K7" s="53">
        <f t="shared" si="0"/>
        <v>0</v>
      </c>
      <c r="L7" s="53">
        <f t="shared" si="0"/>
        <v>266901958.21999994</v>
      </c>
      <c r="M7" s="53">
        <f t="shared" si="0"/>
        <v>54608181.279999994</v>
      </c>
      <c r="N7" s="53">
        <f t="shared" si="0"/>
        <v>212293776.93999997</v>
      </c>
      <c r="O7" s="53">
        <f t="shared" si="0"/>
        <v>248421.9</v>
      </c>
      <c r="P7" s="53">
        <f>P66</f>
        <v>73956.760000000009</v>
      </c>
      <c r="Q7" s="53">
        <f t="shared" si="0"/>
        <v>211971398.27999997</v>
      </c>
      <c r="U7" s="174" t="s">
        <v>15</v>
      </c>
      <c r="V7" s="284">
        <f>Q59+Q83+Q102+Q114+Q128+Q140+Q152+Q153+Q165+Q177+Q178+Q179+Q191+Q203+Q215+Q227+Q239+Q251+Q263+Q275+Q287+Q299+Q311+Q323+Q335+Q348+Q360+Q372+Q384+Q396+Q408+Q420+Q432+Q444+Q456+Q468+Q480+Q492+Q504+Q516+Q528+Q540+Q552+Q564+Q588+Q600+Q612</f>
        <v>3597679164.7400012</v>
      </c>
      <c r="W7" s="390" t="s">
        <v>461</v>
      </c>
    </row>
    <row r="8" spans="1:24">
      <c r="A8" s="47" t="str">
        <f>A69</f>
        <v>GENERAL COUNTY</v>
      </c>
      <c r="B8" s="48">
        <f t="shared" ref="B8:Q8" si="1">B90</f>
        <v>0.65410000000000001</v>
      </c>
      <c r="C8" s="48">
        <f t="shared" si="1"/>
        <v>0</v>
      </c>
      <c r="D8" s="43">
        <f t="shared" si="1"/>
        <v>860904</v>
      </c>
      <c r="E8" s="173"/>
      <c r="F8" s="43">
        <f t="shared" si="1"/>
        <v>181168378714.30185</v>
      </c>
      <c r="G8" s="53">
        <f t="shared" si="1"/>
        <v>25316261.830000002</v>
      </c>
      <c r="H8" s="53">
        <f t="shared" si="1"/>
        <v>1107508827.03</v>
      </c>
      <c r="I8" s="53">
        <f t="shared" si="1"/>
        <v>0</v>
      </c>
      <c r="J8" s="53">
        <f t="shared" si="1"/>
        <v>107544588.11</v>
      </c>
      <c r="K8" s="53">
        <f t="shared" si="1"/>
        <v>0</v>
      </c>
      <c r="L8" s="53">
        <f t="shared" si="1"/>
        <v>1025280500.7500001</v>
      </c>
      <c r="M8" s="53">
        <f t="shared" si="1"/>
        <v>209760432.62</v>
      </c>
      <c r="N8" s="53">
        <f t="shared" si="1"/>
        <v>815520068.13000035</v>
      </c>
      <c r="O8" s="53">
        <f t="shared" si="1"/>
        <v>562826.38</v>
      </c>
      <c r="P8" s="53">
        <f>P90</f>
        <v>284559.59000000003</v>
      </c>
      <c r="Q8" s="53">
        <f t="shared" si="1"/>
        <v>814672682.16000032</v>
      </c>
      <c r="U8" s="171" t="s">
        <v>16</v>
      </c>
      <c r="V8" s="284">
        <f>Q60+Q84+Q103+Q115+Q129+Q141+Q154+Q166+Q180+Q192+Q204+Q216+Q228+Q240+Q252+Q264+Q276+Q288+Q300+Q312+Q324+Q336+Q349+Q361+Q373+Q385+Q397+Q409+Q421+Q433+Q445+Q457+Q469+Q481+Q493+Q505+Q517+Q529+Q541+Q553+Q565+Q589+Q601+Q613</f>
        <v>56451263.209999993</v>
      </c>
    </row>
    <row r="9" spans="1:24">
      <c r="A9" s="47" t="str">
        <f>A100</f>
        <v>SCHOOL DISTRICT</v>
      </c>
      <c r="B9" s="48">
        <f t="shared" ref="B9:Q9" si="2">B123</f>
        <v>1.3033999999999999</v>
      </c>
      <c r="C9" s="48">
        <f t="shared" si="2"/>
        <v>0</v>
      </c>
      <c r="D9" s="43">
        <f t="shared" si="2"/>
        <v>860904</v>
      </c>
      <c r="E9" s="173"/>
      <c r="F9" s="43">
        <f t="shared" si="2"/>
        <v>181168993252.11664</v>
      </c>
      <c r="G9" s="53">
        <f t="shared" si="2"/>
        <v>50446745.589999996</v>
      </c>
      <c r="H9" s="53">
        <f t="shared" si="2"/>
        <v>2250782675.7399998</v>
      </c>
      <c r="I9" s="53">
        <f t="shared" si="2"/>
        <v>0</v>
      </c>
      <c r="J9" s="53">
        <f t="shared" si="2"/>
        <v>213781271.98000002</v>
      </c>
      <c r="K9" s="53">
        <f t="shared" si="2"/>
        <v>0</v>
      </c>
      <c r="L9" s="53">
        <f t="shared" si="2"/>
        <v>2087448149.3499999</v>
      </c>
      <c r="M9" s="53">
        <f t="shared" si="2"/>
        <v>424166163.47000003</v>
      </c>
      <c r="N9" s="53">
        <f t="shared" si="2"/>
        <v>1663281985.8799999</v>
      </c>
      <c r="O9" s="53">
        <f t="shared" si="2"/>
        <v>645344.21</v>
      </c>
      <c r="P9" s="53">
        <f>P123</f>
        <v>567031.07000000007</v>
      </c>
      <c r="Q9" s="53">
        <f t="shared" si="2"/>
        <v>1662069610.5999999</v>
      </c>
      <c r="U9" s="171" t="s">
        <v>17</v>
      </c>
      <c r="V9" s="284">
        <f>Q61+Q85+Q104+Q116+Q130+Q142+Q155+Q167+Q181+Q193+Q205+Q217+Q229+Q241+Q253+Q265+Q277+Q289+Q301+Q313+Q325+Q337+Q350+Q362+Q374+Q386+Q398+Q410+Q422+Q434+Q446+Q458+Q470+Q482+Q494+Q506+Q518+Q530+Q542+Q554+Q566+Q590+Q602+Q614</f>
        <v>203736935</v>
      </c>
    </row>
    <row r="10" spans="1:24">
      <c r="A10" s="47" t="str">
        <f>A126</f>
        <v>BOULDER CITY</v>
      </c>
      <c r="B10" s="48">
        <f t="shared" ref="B10:Q10" si="3">B135</f>
        <v>0.26</v>
      </c>
      <c r="C10" s="48">
        <f t="shared" si="3"/>
        <v>0</v>
      </c>
      <c r="D10" s="43">
        <f t="shared" si="3"/>
        <v>7847</v>
      </c>
      <c r="E10" s="173"/>
      <c r="F10" s="43">
        <f t="shared" si="3"/>
        <v>1558774988.2515385</v>
      </c>
      <c r="G10" s="53">
        <f t="shared" si="3"/>
        <v>151473.04</v>
      </c>
      <c r="H10" s="53">
        <f t="shared" si="3"/>
        <v>3461309.28</v>
      </c>
      <c r="I10" s="53">
        <f t="shared" si="3"/>
        <v>0</v>
      </c>
      <c r="J10" s="53">
        <f t="shared" si="3"/>
        <v>746860.52</v>
      </c>
      <c r="K10" s="53">
        <f t="shared" si="3"/>
        <v>0</v>
      </c>
      <c r="L10" s="53">
        <f t="shared" si="3"/>
        <v>2865921.8000000003</v>
      </c>
      <c r="M10" s="53">
        <f t="shared" si="3"/>
        <v>818167.71</v>
      </c>
      <c r="N10" s="53">
        <f t="shared" si="3"/>
        <v>2047754.0900000003</v>
      </c>
      <c r="O10" s="53">
        <f t="shared" si="3"/>
        <v>9192.59</v>
      </c>
      <c r="P10" s="53">
        <f>P135</f>
        <v>677.93</v>
      </c>
      <c r="Q10" s="53">
        <f t="shared" si="3"/>
        <v>2037883.57</v>
      </c>
      <c r="U10" s="171" t="s">
        <v>18</v>
      </c>
      <c r="V10" s="284"/>
      <c r="X10" s="53">
        <f>+V12-3350369.32</f>
        <v>-525406.70000000065</v>
      </c>
    </row>
    <row r="11" spans="1:24">
      <c r="A11" s="47" t="str">
        <f>A138</f>
        <v>CITY OF HENDERSON</v>
      </c>
      <c r="B11" s="48">
        <f>+B147</f>
        <v>0.77080000000000004</v>
      </c>
      <c r="C11" s="48">
        <f t="shared" ref="C11:Q11" si="4">C147</f>
        <v>0</v>
      </c>
      <c r="D11" s="43">
        <f t="shared" si="4"/>
        <v>145667</v>
      </c>
      <c r="E11" s="173"/>
      <c r="F11" s="43">
        <f t="shared" si="4"/>
        <v>29310403931.836468</v>
      </c>
      <c r="G11" s="53">
        <f t="shared" si="4"/>
        <v>3070750.09</v>
      </c>
      <c r="H11" s="53">
        <f t="shared" si="4"/>
        <v>196647661.28</v>
      </c>
      <c r="I11" s="53">
        <f t="shared" si="4"/>
        <v>0</v>
      </c>
      <c r="J11" s="53">
        <f t="shared" si="4"/>
        <v>12941037.390000001</v>
      </c>
      <c r="K11" s="53">
        <f t="shared" si="4"/>
        <v>0</v>
      </c>
      <c r="L11" s="53">
        <f t="shared" si="4"/>
        <v>186777373.98000002</v>
      </c>
      <c r="M11" s="53">
        <f t="shared" si="4"/>
        <v>42925408.039999992</v>
      </c>
      <c r="N11" s="53">
        <f t="shared" si="4"/>
        <v>143851965.94000003</v>
      </c>
      <c r="O11" s="53">
        <f t="shared" si="4"/>
        <v>340114.27</v>
      </c>
      <c r="P11" s="53">
        <f>P147</f>
        <v>49303.48</v>
      </c>
      <c r="Q11" s="53">
        <f t="shared" si="4"/>
        <v>143462548.19000003</v>
      </c>
      <c r="U11" s="285" t="s">
        <v>19</v>
      </c>
      <c r="V11" s="284">
        <f>Q63+Q87+Q106+Q118+Q132+Q144+Q157+Q169+Q183+Q195+Q207+Q219+Q231+Q243+Q255+Q267+Q279+Q291+Q303+Q315+Q327+Q339+Q352+Q364+Q376+Q388+Q400+Q412+Q424+Q436+Q448+Q460+Q472+Q484+Q496+Q508+Q520+Q532+Q544+Q556+Q568+Q592+Q604+Q616</f>
        <v>83049120.580000013</v>
      </c>
      <c r="W11" s="390" t="s">
        <v>461</v>
      </c>
    </row>
    <row r="12" spans="1:24">
      <c r="A12" s="47" t="str">
        <f>A150</f>
        <v>CITY OF LAS VEGAS</v>
      </c>
      <c r="B12" s="48">
        <f>+B160</f>
        <v>0.77149999999999996</v>
      </c>
      <c r="C12" s="48">
        <f t="shared" ref="C12:Q12" si="5">C160</f>
        <v>0</v>
      </c>
      <c r="D12" s="43">
        <f t="shared" si="5"/>
        <v>227865</v>
      </c>
      <c r="E12" s="173"/>
      <c r="F12" s="43">
        <f t="shared" si="5"/>
        <v>38382758985.770691</v>
      </c>
      <c r="G12" s="53">
        <f t="shared" si="5"/>
        <v>6029824.8499999996</v>
      </c>
      <c r="H12" s="53">
        <f t="shared" si="5"/>
        <v>271357792.49000007</v>
      </c>
      <c r="I12" s="53">
        <f t="shared" si="5"/>
        <v>0</v>
      </c>
      <c r="J12" s="53">
        <f t="shared" si="5"/>
        <v>22774730.949999999</v>
      </c>
      <c r="K12" s="53">
        <f t="shared" si="5"/>
        <v>0</v>
      </c>
      <c r="L12" s="53">
        <f t="shared" si="5"/>
        <v>254612886.39000002</v>
      </c>
      <c r="M12" s="53">
        <f t="shared" si="5"/>
        <v>56338076.32</v>
      </c>
      <c r="N12" s="53">
        <f t="shared" si="5"/>
        <v>198274810.06999999</v>
      </c>
      <c r="O12" s="53">
        <f t="shared" si="5"/>
        <v>220912.93</v>
      </c>
      <c r="P12" s="53">
        <f>P160</f>
        <v>70370.5</v>
      </c>
      <c r="Q12" s="53">
        <f t="shared" si="5"/>
        <v>197983526.63999999</v>
      </c>
      <c r="U12" s="285" t="s">
        <v>20</v>
      </c>
      <c r="V12" s="284">
        <f>Q64+Q88+Q107+Q119+Q133+Q145+Q158+Q170+Q184+Q196+Q208+Q220+Q232+Q244+Q256+Q268+Q280+Q292+Q304+Q316+Q328+Q340+Q353+Q365+Q377+Q389+Q401+Q413+Q425+Q437+Q449+Q461+Q473+Q485+Q497+Q509+Q521+Q533+Q545+Q557+Q569+Q593+Q605+Q617</f>
        <v>2824962.6199999992</v>
      </c>
      <c r="W12" s="390"/>
    </row>
    <row r="13" spans="1:24">
      <c r="A13" s="47" t="str">
        <f>A163</f>
        <v>CITY OF MESQUITE</v>
      </c>
      <c r="B13" s="48">
        <f t="shared" ref="B13:Q13" si="6">B172</f>
        <v>0.55200000000000005</v>
      </c>
      <c r="C13" s="48">
        <f t="shared" si="6"/>
        <v>0</v>
      </c>
      <c r="D13" s="43">
        <f t="shared" si="6"/>
        <v>15305</v>
      </c>
      <c r="E13" s="173"/>
      <c r="F13" s="43">
        <f t="shared" si="6"/>
        <v>1958402035.7900002</v>
      </c>
      <c r="G13" s="53">
        <f t="shared" si="6"/>
        <v>114345.06999999999</v>
      </c>
      <c r="H13" s="53">
        <f t="shared" si="6"/>
        <v>9300291.8599999994</v>
      </c>
      <c r="I13" s="53">
        <f t="shared" si="6"/>
        <v>0</v>
      </c>
      <c r="J13" s="53">
        <f t="shared" si="6"/>
        <v>425986.3</v>
      </c>
      <c r="K13" s="53">
        <f t="shared" si="6"/>
        <v>0</v>
      </c>
      <c r="L13" s="53">
        <f t="shared" si="6"/>
        <v>8988650.6300000008</v>
      </c>
      <c r="M13" s="53">
        <f t="shared" si="6"/>
        <v>1309663.78</v>
      </c>
      <c r="N13" s="53">
        <f t="shared" si="6"/>
        <v>7678986.8499999996</v>
      </c>
      <c r="O13" s="53">
        <f t="shared" si="6"/>
        <v>7183.92</v>
      </c>
      <c r="P13" s="53">
        <f>P172</f>
        <v>0</v>
      </c>
      <c r="Q13" s="53">
        <f t="shared" si="6"/>
        <v>7671802.9299999997</v>
      </c>
      <c r="U13" s="174"/>
      <c r="V13" s="284"/>
    </row>
    <row r="14" spans="1:24">
      <c r="A14" s="47" t="str">
        <f>A175</f>
        <v>CITY OF NORTH LAS VEGAS</v>
      </c>
      <c r="B14" s="48">
        <f>+B177</f>
        <v>1.1587000000000001</v>
      </c>
      <c r="C14" s="48">
        <f t="shared" ref="C14:Q14" si="7">C186</f>
        <v>0</v>
      </c>
      <c r="D14" s="43">
        <f t="shared" si="7"/>
        <v>97110</v>
      </c>
      <c r="E14" s="173"/>
      <c r="F14" s="43">
        <f t="shared" si="7"/>
        <v>17904311172.149269</v>
      </c>
      <c r="G14" s="53">
        <f t="shared" si="7"/>
        <v>4678046.13</v>
      </c>
      <c r="H14" s="53">
        <f t="shared" si="7"/>
        <v>200047585.03</v>
      </c>
      <c r="I14" s="53">
        <f t="shared" si="7"/>
        <v>0</v>
      </c>
      <c r="J14" s="53">
        <f t="shared" si="7"/>
        <v>19731846.169999998</v>
      </c>
      <c r="K14" s="53">
        <f t="shared" si="7"/>
        <v>0</v>
      </c>
      <c r="L14" s="53">
        <f t="shared" si="7"/>
        <v>184993784.98999998</v>
      </c>
      <c r="M14" s="53">
        <f t="shared" si="7"/>
        <v>46532528.399999999</v>
      </c>
      <c r="N14" s="53">
        <f t="shared" si="7"/>
        <v>138461256.59</v>
      </c>
      <c r="O14" s="53">
        <f t="shared" si="7"/>
        <v>67403.810000000012</v>
      </c>
      <c r="P14" s="53">
        <f>P186</f>
        <v>50067.29</v>
      </c>
      <c r="Q14" s="53">
        <f t="shared" si="7"/>
        <v>138343785.49000001</v>
      </c>
      <c r="U14" s="174"/>
      <c r="V14" s="284">
        <f>Q66+Q90+Q109+Q121+Q135+Q147+Q160+Q172+Q186+Q198+Q210+Q222+Q234+Q246+Q258+Q270+Q282+Q294+Q306+Q318+Q330+Q342+Q355+Q367+Q379+Q391+Q403+Q415+Q427+Q439+Q451+Q463+Q475+Q487+Q499+Q511+Q523+Q535+Q547+Q559+Q571+Q595+Q607+Q619</f>
        <v>3943741446.150001</v>
      </c>
    </row>
    <row r="15" spans="1:24">
      <c r="A15" s="47" t="str">
        <f>A189</f>
        <v>BUNKERVILLE TOWN</v>
      </c>
      <c r="B15" s="48">
        <f t="shared" ref="B15:Q15" si="8">B198</f>
        <v>0.02</v>
      </c>
      <c r="C15" s="48">
        <f t="shared" si="8"/>
        <v>0</v>
      </c>
      <c r="D15" s="43">
        <f t="shared" si="8"/>
        <v>1251</v>
      </c>
      <c r="E15" s="173"/>
      <c r="F15" s="43">
        <f t="shared" si="8"/>
        <v>147002525.66000003</v>
      </c>
      <c r="G15" s="53">
        <f t="shared" si="8"/>
        <v>3562.12</v>
      </c>
      <c r="H15" s="53">
        <f t="shared" si="8"/>
        <v>29351.140000000003</v>
      </c>
      <c r="I15" s="53">
        <f t="shared" si="8"/>
        <v>0</v>
      </c>
      <c r="J15" s="53">
        <f t="shared" si="8"/>
        <v>20632.05</v>
      </c>
      <c r="K15" s="53">
        <f t="shared" si="8"/>
        <v>0</v>
      </c>
      <c r="L15" s="53">
        <f t="shared" si="8"/>
        <v>12281.210000000003</v>
      </c>
      <c r="M15" s="53">
        <f t="shared" si="8"/>
        <v>1648.74</v>
      </c>
      <c r="N15" s="53">
        <f t="shared" si="8"/>
        <v>10632.470000000005</v>
      </c>
      <c r="O15" s="53">
        <f t="shared" si="8"/>
        <v>0</v>
      </c>
      <c r="P15" s="53">
        <f>P198</f>
        <v>0</v>
      </c>
      <c r="Q15" s="53">
        <f t="shared" si="8"/>
        <v>10632.470000000005</v>
      </c>
    </row>
    <row r="16" spans="1:24">
      <c r="A16" s="47" t="str">
        <f>A201</f>
        <v>ENTERPRISE TOWN</v>
      </c>
      <c r="B16" s="48">
        <f t="shared" ref="B16:Q16" si="9">B210</f>
        <v>0.2064</v>
      </c>
      <c r="C16" s="48">
        <f t="shared" si="9"/>
        <v>0</v>
      </c>
      <c r="D16" s="43">
        <f t="shared" si="9"/>
        <v>96819</v>
      </c>
      <c r="E16" s="173"/>
      <c r="F16" s="43">
        <f t="shared" si="9"/>
        <v>20888413960.655739</v>
      </c>
      <c r="G16" s="53">
        <f t="shared" si="9"/>
        <v>906610.96</v>
      </c>
      <c r="H16" s="53">
        <f t="shared" si="9"/>
        <v>42201789.600000001</v>
      </c>
      <c r="I16" s="53">
        <f t="shared" si="9"/>
        <v>0</v>
      </c>
      <c r="J16" s="53">
        <f t="shared" si="9"/>
        <v>2709794.5300000003</v>
      </c>
      <c r="K16" s="53">
        <f t="shared" si="9"/>
        <v>0</v>
      </c>
      <c r="L16" s="53">
        <f t="shared" si="9"/>
        <v>40398606.030000001</v>
      </c>
      <c r="M16" s="53">
        <f t="shared" si="9"/>
        <v>8697395.4400000013</v>
      </c>
      <c r="N16" s="53">
        <f t="shared" si="9"/>
        <v>31701210.590000004</v>
      </c>
      <c r="O16" s="53">
        <f t="shared" si="9"/>
        <v>0</v>
      </c>
      <c r="P16" s="53">
        <f>P210</f>
        <v>7852.8099999999995</v>
      </c>
      <c r="Q16" s="53">
        <f t="shared" si="9"/>
        <v>31693357.780000001</v>
      </c>
      <c r="V16" s="53">
        <f>V14-Q52</f>
        <v>0</v>
      </c>
    </row>
    <row r="17" spans="1:24">
      <c r="A17" s="47" t="str">
        <f>A213</f>
        <v>INDIAN SPRINGS TOWN</v>
      </c>
      <c r="B17" s="48">
        <f t="shared" ref="B17:Q17" si="10">B222</f>
        <v>0.02</v>
      </c>
      <c r="C17" s="48">
        <f t="shared" si="10"/>
        <v>0</v>
      </c>
      <c r="D17" s="43">
        <f t="shared" si="10"/>
        <v>607</v>
      </c>
      <c r="E17" s="173"/>
      <c r="F17" s="43">
        <f t="shared" si="10"/>
        <v>68022221.569999993</v>
      </c>
      <c r="G17" s="53">
        <f t="shared" si="10"/>
        <v>101.85</v>
      </c>
      <c r="H17" s="53">
        <f t="shared" si="10"/>
        <v>13502.51</v>
      </c>
      <c r="I17" s="53">
        <f t="shared" si="10"/>
        <v>0</v>
      </c>
      <c r="J17" s="53">
        <f t="shared" si="10"/>
        <v>2215.3200000000002</v>
      </c>
      <c r="K17" s="53">
        <f t="shared" si="10"/>
        <v>0</v>
      </c>
      <c r="L17" s="53">
        <f t="shared" si="10"/>
        <v>11389.04</v>
      </c>
      <c r="M17" s="53">
        <f t="shared" si="10"/>
        <v>2567.5500000000006</v>
      </c>
      <c r="N17" s="53">
        <f t="shared" si="10"/>
        <v>8821.49</v>
      </c>
      <c r="O17" s="53">
        <f t="shared" si="10"/>
        <v>0</v>
      </c>
      <c r="P17" s="53">
        <f>P222</f>
        <v>11.87</v>
      </c>
      <c r="Q17" s="53">
        <f t="shared" si="10"/>
        <v>8809.619999999999</v>
      </c>
      <c r="X17" s="49">
        <f>3554113.96-3445263.81</f>
        <v>108850.14999999991</v>
      </c>
    </row>
    <row r="18" spans="1:24">
      <c r="A18" s="47" t="str">
        <f>A225</f>
        <v>LAUGHLIN TOWN</v>
      </c>
      <c r="B18" s="48">
        <f t="shared" ref="B18:Q18" si="11">B234</f>
        <v>0.84160000000000001</v>
      </c>
      <c r="C18" s="48">
        <f t="shared" si="11"/>
        <v>0</v>
      </c>
      <c r="D18" s="43">
        <f t="shared" si="11"/>
        <v>4165</v>
      </c>
      <c r="E18" s="173"/>
      <c r="F18" s="43">
        <f t="shared" si="11"/>
        <v>718183300.42000008</v>
      </c>
      <c r="G18" s="53">
        <f t="shared" si="11"/>
        <v>70836.48000000001</v>
      </c>
      <c r="H18" s="53">
        <f t="shared" si="11"/>
        <v>5973433.8500000006</v>
      </c>
      <c r="I18" s="53">
        <f t="shared" si="11"/>
        <v>0</v>
      </c>
      <c r="J18" s="53">
        <f t="shared" si="11"/>
        <v>806852.29</v>
      </c>
      <c r="K18" s="53">
        <f t="shared" si="11"/>
        <v>0</v>
      </c>
      <c r="L18" s="53">
        <f t="shared" si="11"/>
        <v>5237418.04</v>
      </c>
      <c r="M18" s="53">
        <f t="shared" si="11"/>
        <v>991306.1399999999</v>
      </c>
      <c r="N18" s="53">
        <f t="shared" si="11"/>
        <v>4246111.9000000004</v>
      </c>
      <c r="O18" s="53">
        <f t="shared" si="11"/>
        <v>0</v>
      </c>
      <c r="P18" s="53">
        <f>P234</f>
        <v>2425.1</v>
      </c>
      <c r="Q18" s="53">
        <f t="shared" si="11"/>
        <v>4243686.8000000007</v>
      </c>
    </row>
    <row r="19" spans="1:24">
      <c r="A19" s="47" t="str">
        <f>A237</f>
        <v>MOAPA TOWN</v>
      </c>
      <c r="B19" s="48">
        <f t="shared" ref="B19:Q19" si="12">B246</f>
        <v>0.02</v>
      </c>
      <c r="C19" s="48">
        <f t="shared" si="12"/>
        <v>0</v>
      </c>
      <c r="D19" s="43">
        <f t="shared" si="12"/>
        <v>1236</v>
      </c>
      <c r="E19" s="173"/>
      <c r="F19" s="43">
        <f t="shared" si="12"/>
        <v>154499362.00999999</v>
      </c>
      <c r="G19" s="53">
        <f t="shared" si="12"/>
        <v>786.06999999999994</v>
      </c>
      <c r="H19" s="53">
        <f t="shared" si="12"/>
        <v>30113.14</v>
      </c>
      <c r="I19" s="53">
        <f t="shared" si="12"/>
        <v>0</v>
      </c>
      <c r="J19" s="53">
        <f t="shared" si="12"/>
        <v>14406.59</v>
      </c>
      <c r="K19" s="53">
        <f t="shared" si="12"/>
        <v>0</v>
      </c>
      <c r="L19" s="53">
        <f t="shared" si="12"/>
        <v>16492.62</v>
      </c>
      <c r="M19" s="53">
        <f t="shared" si="12"/>
        <v>1056.02</v>
      </c>
      <c r="N19" s="53">
        <f t="shared" si="12"/>
        <v>15436.599999999999</v>
      </c>
      <c r="O19" s="53">
        <f t="shared" si="12"/>
        <v>0</v>
      </c>
      <c r="P19" s="53">
        <f>P246</f>
        <v>40.35</v>
      </c>
      <c r="Q19" s="53">
        <f t="shared" si="12"/>
        <v>15396.25</v>
      </c>
    </row>
    <row r="20" spans="1:24">
      <c r="A20" s="47" t="str">
        <f>A249</f>
        <v>MOAPA VALLEY TOWN</v>
      </c>
      <c r="B20" s="48">
        <f t="shared" ref="B20:Q20" si="13">B258</f>
        <v>0.02</v>
      </c>
      <c r="C20" s="48">
        <f t="shared" si="13"/>
        <v>0</v>
      </c>
      <c r="D20" s="43">
        <f t="shared" si="13"/>
        <v>4806</v>
      </c>
      <c r="E20" s="173"/>
      <c r="F20" s="43">
        <f t="shared" si="13"/>
        <v>348693942.88999999</v>
      </c>
      <c r="G20" s="53">
        <f t="shared" si="13"/>
        <v>5923.49</v>
      </c>
      <c r="H20" s="53">
        <f t="shared" si="13"/>
        <v>67074.939999999988</v>
      </c>
      <c r="I20" s="53">
        <f t="shared" si="13"/>
        <v>0</v>
      </c>
      <c r="J20" s="53">
        <f t="shared" si="13"/>
        <v>14474.58</v>
      </c>
      <c r="K20" s="53">
        <f t="shared" si="13"/>
        <v>0</v>
      </c>
      <c r="L20" s="53">
        <f t="shared" si="13"/>
        <v>58523.85</v>
      </c>
      <c r="M20" s="53">
        <f t="shared" si="13"/>
        <v>9529.2200000000012</v>
      </c>
      <c r="N20" s="53">
        <f t="shared" si="13"/>
        <v>48994.62999999999</v>
      </c>
      <c r="O20" s="53">
        <f t="shared" si="13"/>
        <v>0</v>
      </c>
      <c r="P20" s="53">
        <f>P258</f>
        <v>0</v>
      </c>
      <c r="Q20" s="53">
        <f t="shared" si="13"/>
        <v>48994.62999999999</v>
      </c>
    </row>
    <row r="21" spans="1:24">
      <c r="A21" s="47" t="str">
        <f>A261</f>
        <v>MT CHARLESTON TOWN</v>
      </c>
      <c r="B21" s="48">
        <f t="shared" ref="B21:O21" si="14">B270</f>
        <v>0.02</v>
      </c>
      <c r="C21" s="48">
        <f t="shared" si="14"/>
        <v>0</v>
      </c>
      <c r="D21" s="43">
        <f t="shared" si="14"/>
        <v>1061</v>
      </c>
      <c r="E21" s="173"/>
      <c r="F21" s="43">
        <f t="shared" ref="F21:N21" si="15">F270</f>
        <v>114257870.27000001</v>
      </c>
      <c r="G21" s="18">
        <f t="shared" si="15"/>
        <v>88.72</v>
      </c>
      <c r="H21" s="53">
        <f t="shared" si="15"/>
        <v>22761.129999999997</v>
      </c>
      <c r="I21" s="53">
        <f t="shared" si="15"/>
        <v>0</v>
      </c>
      <c r="J21" s="53">
        <f t="shared" si="15"/>
        <v>5935.06</v>
      </c>
      <c r="K21" s="53">
        <f t="shared" si="15"/>
        <v>0</v>
      </c>
      <c r="L21" s="53">
        <f t="shared" si="15"/>
        <v>16914.789999999997</v>
      </c>
      <c r="M21" s="18">
        <f t="shared" si="15"/>
        <v>4472.5200000000004</v>
      </c>
      <c r="N21" s="503">
        <f t="shared" si="15"/>
        <v>12442.269999999999</v>
      </c>
      <c r="O21" s="53">
        <f t="shared" si="14"/>
        <v>0</v>
      </c>
      <c r="P21" s="53">
        <f>P270</f>
        <v>10.23</v>
      </c>
      <c r="Q21" s="53">
        <f>Q270</f>
        <v>12432.039999999997</v>
      </c>
    </row>
    <row r="22" spans="1:24">
      <c r="A22" s="47" t="str">
        <f>A273</f>
        <v>PARADISE TOWN</v>
      </c>
      <c r="B22" s="48">
        <f t="shared" ref="B22:Q22" si="16">B282</f>
        <v>0.2064</v>
      </c>
      <c r="C22" s="48">
        <f t="shared" si="16"/>
        <v>0</v>
      </c>
      <c r="D22" s="43">
        <f t="shared" si="16"/>
        <v>63460</v>
      </c>
      <c r="E22" s="173"/>
      <c r="F22" s="43">
        <f t="shared" si="16"/>
        <v>27977068999.261475</v>
      </c>
      <c r="G22" s="53">
        <f t="shared" si="16"/>
        <v>981340.85</v>
      </c>
      <c r="H22" s="53">
        <f t="shared" si="16"/>
        <v>56669612.890000001</v>
      </c>
      <c r="I22" s="53">
        <f t="shared" si="16"/>
        <v>0</v>
      </c>
      <c r="J22" s="53">
        <f t="shared" si="16"/>
        <v>4977072.9800000004</v>
      </c>
      <c r="K22" s="53">
        <f t="shared" si="16"/>
        <v>0</v>
      </c>
      <c r="L22" s="53">
        <f t="shared" si="16"/>
        <v>52673880.75999999</v>
      </c>
      <c r="M22" s="53">
        <f t="shared" si="16"/>
        <v>8372724.1800000006</v>
      </c>
      <c r="N22" s="53">
        <f t="shared" si="16"/>
        <v>44301156.579999991</v>
      </c>
      <c r="O22" s="53">
        <f t="shared" si="16"/>
        <v>72.319999999999993</v>
      </c>
      <c r="P22" s="53">
        <f>P282</f>
        <v>6367.81</v>
      </c>
      <c r="Q22" s="53">
        <f t="shared" si="16"/>
        <v>44294716.449999996</v>
      </c>
    </row>
    <row r="23" spans="1:24">
      <c r="A23" s="47" t="str">
        <f>A285</f>
        <v>SEARCHLIGHT TOWN</v>
      </c>
      <c r="B23" s="48">
        <f t="shared" ref="B23:Q23" si="17">B294</f>
        <v>0.02</v>
      </c>
      <c r="C23" s="48">
        <f t="shared" si="17"/>
        <v>0</v>
      </c>
      <c r="D23" s="43">
        <f t="shared" si="17"/>
        <v>1277</v>
      </c>
      <c r="E23" s="173"/>
      <c r="F23" s="43">
        <f t="shared" si="17"/>
        <v>109536830.8</v>
      </c>
      <c r="G23" s="53">
        <f t="shared" si="17"/>
        <v>1870.44</v>
      </c>
      <c r="H23" s="53">
        <f t="shared" si="17"/>
        <v>19637</v>
      </c>
      <c r="I23" s="53">
        <f t="shared" si="17"/>
        <v>0</v>
      </c>
      <c r="J23" s="53">
        <f t="shared" si="17"/>
        <v>13307.960000000001</v>
      </c>
      <c r="K23" s="53">
        <f t="shared" si="17"/>
        <v>0</v>
      </c>
      <c r="L23" s="53">
        <f t="shared" si="17"/>
        <v>8199.48</v>
      </c>
      <c r="M23" s="53">
        <f t="shared" si="17"/>
        <v>654.37</v>
      </c>
      <c r="N23" s="53">
        <f t="shared" si="17"/>
        <v>7545.1100000000006</v>
      </c>
      <c r="O23" s="53">
        <f t="shared" si="17"/>
        <v>0</v>
      </c>
      <c r="P23" s="53">
        <f>P294</f>
        <v>0</v>
      </c>
      <c r="Q23" s="53">
        <f t="shared" si="17"/>
        <v>7515.91</v>
      </c>
    </row>
    <row r="24" spans="1:24">
      <c r="A24" s="47" t="str">
        <f>A297</f>
        <v>SPRING VALLEY TOWN</v>
      </c>
      <c r="B24" s="48">
        <f t="shared" ref="B24:Q24" si="18">B306</f>
        <v>0.2064</v>
      </c>
      <c r="C24" s="48">
        <f t="shared" si="18"/>
        <v>0</v>
      </c>
      <c r="D24" s="43">
        <f t="shared" si="18"/>
        <v>82032</v>
      </c>
      <c r="E24" s="173"/>
      <c r="F24" s="43">
        <f t="shared" si="18"/>
        <v>14497180796.93186</v>
      </c>
      <c r="G24" s="53">
        <f t="shared" si="18"/>
        <v>429036.42000000004</v>
      </c>
      <c r="H24" s="53">
        <f t="shared" si="18"/>
        <v>29483886.119999997</v>
      </c>
      <c r="I24" s="53">
        <f t="shared" si="18"/>
        <v>0</v>
      </c>
      <c r="J24" s="53">
        <f t="shared" si="18"/>
        <v>2285330.5999999996</v>
      </c>
      <c r="K24" s="53">
        <f t="shared" si="18"/>
        <v>0</v>
      </c>
      <c r="L24" s="53">
        <f t="shared" si="18"/>
        <v>27627591.940000001</v>
      </c>
      <c r="M24" s="53">
        <f t="shared" si="18"/>
        <v>4383921.8100000005</v>
      </c>
      <c r="N24" s="53">
        <f t="shared" si="18"/>
        <v>23243670.129999999</v>
      </c>
      <c r="O24" s="53">
        <f t="shared" si="18"/>
        <v>0</v>
      </c>
      <c r="P24" s="53">
        <f>P306</f>
        <v>6398.73</v>
      </c>
      <c r="Q24" s="53">
        <f t="shared" si="18"/>
        <v>23237271.400000002</v>
      </c>
    </row>
    <row r="25" spans="1:24">
      <c r="A25" s="47" t="str">
        <f>A309</f>
        <v>SUMMERLIN TOWN</v>
      </c>
      <c r="B25" s="48">
        <f t="shared" ref="B25:Q25" si="19">B318</f>
        <v>0.2064</v>
      </c>
      <c r="C25" s="48">
        <f t="shared" si="19"/>
        <v>0</v>
      </c>
      <c r="D25" s="43">
        <f t="shared" si="19"/>
        <v>15908</v>
      </c>
      <c r="E25" s="173"/>
      <c r="F25" s="43">
        <f t="shared" si="19"/>
        <v>6656692891.667675</v>
      </c>
      <c r="G25" s="53">
        <f t="shared" si="19"/>
        <v>219795.85</v>
      </c>
      <c r="H25" s="53">
        <f t="shared" si="19"/>
        <v>13515162.539999999</v>
      </c>
      <c r="I25" s="53">
        <f t="shared" si="19"/>
        <v>0</v>
      </c>
      <c r="J25" s="53">
        <f t="shared" si="19"/>
        <v>661046.47</v>
      </c>
      <c r="K25" s="53">
        <f t="shared" si="19"/>
        <v>0</v>
      </c>
      <c r="L25" s="53">
        <f t="shared" si="19"/>
        <v>13073911.92</v>
      </c>
      <c r="M25" s="53">
        <f t="shared" si="19"/>
        <v>2956461.01</v>
      </c>
      <c r="N25" s="53">
        <f t="shared" si="19"/>
        <v>10117450.909999998</v>
      </c>
      <c r="O25" s="53">
        <f t="shared" si="19"/>
        <v>0</v>
      </c>
      <c r="P25" s="53">
        <f>P318</f>
        <v>1703.74</v>
      </c>
      <c r="Q25" s="53">
        <f t="shared" si="19"/>
        <v>10115747.169999998</v>
      </c>
    </row>
    <row r="26" spans="1:24">
      <c r="A26" s="47" t="str">
        <f>A321</f>
        <v>SUNRISE MANOR TOWN</v>
      </c>
      <c r="B26" s="48">
        <f t="shared" ref="B26:Q26" si="20">B330</f>
        <v>0.2064</v>
      </c>
      <c r="C26" s="48">
        <f t="shared" si="20"/>
        <v>0</v>
      </c>
      <c r="D26" s="43">
        <f t="shared" si="20"/>
        <v>51581</v>
      </c>
      <c r="E26" s="173"/>
      <c r="F26" s="43">
        <f t="shared" si="20"/>
        <v>6565229287.7451935</v>
      </c>
      <c r="G26" s="53">
        <f t="shared" si="20"/>
        <v>176451.05000000002</v>
      </c>
      <c r="H26" s="53">
        <f t="shared" si="20"/>
        <v>13362975.359999999</v>
      </c>
      <c r="I26" s="53">
        <f t="shared" si="20"/>
        <v>0</v>
      </c>
      <c r="J26" s="53">
        <f t="shared" si="20"/>
        <v>1752169.79</v>
      </c>
      <c r="K26" s="53">
        <f t="shared" si="20"/>
        <v>0</v>
      </c>
      <c r="L26" s="53">
        <f t="shared" si="20"/>
        <v>11787256.619999999</v>
      </c>
      <c r="M26" s="53">
        <f t="shared" si="20"/>
        <v>3448997.4299999997</v>
      </c>
      <c r="N26" s="53">
        <f t="shared" si="20"/>
        <v>8338259.1899999976</v>
      </c>
      <c r="O26" s="53">
        <f t="shared" si="20"/>
        <v>432.74</v>
      </c>
      <c r="P26" s="53">
        <f>P330</f>
        <v>4554</v>
      </c>
      <c r="Q26" s="53">
        <f t="shared" si="20"/>
        <v>8333272.4499999983</v>
      </c>
    </row>
    <row r="27" spans="1:24">
      <c r="A27" s="47" t="str">
        <f>A333</f>
        <v>WHITNEY TOWN</v>
      </c>
      <c r="B27" s="48">
        <f>B342</f>
        <v>0.2064</v>
      </c>
      <c r="C27" s="48">
        <f>C342</f>
        <v>0</v>
      </c>
      <c r="D27" s="43">
        <f>D342</f>
        <v>14138</v>
      </c>
      <c r="E27" s="173"/>
      <c r="F27" s="43">
        <f>F342</f>
        <v>1656374086.98</v>
      </c>
      <c r="G27" s="53">
        <f>G342</f>
        <v>26953.48</v>
      </c>
      <c r="H27" s="53">
        <f t="shared" ref="H27:Q27" si="21">H342</f>
        <v>3320258.12</v>
      </c>
      <c r="I27" s="53">
        <f t="shared" si="21"/>
        <v>0</v>
      </c>
      <c r="J27" s="53">
        <f t="shared" si="21"/>
        <v>436704</v>
      </c>
      <c r="K27" s="53">
        <f t="shared" si="21"/>
        <v>0</v>
      </c>
      <c r="L27" s="53">
        <f>L342</f>
        <v>2910507.5999999996</v>
      </c>
      <c r="M27" s="53">
        <f t="shared" si="21"/>
        <v>948254.86</v>
      </c>
      <c r="N27" s="53">
        <f t="shared" si="21"/>
        <v>1962252.74</v>
      </c>
      <c r="O27" s="53">
        <f t="shared" si="21"/>
        <v>0</v>
      </c>
      <c r="P27" s="53">
        <f>P342</f>
        <v>1139.5</v>
      </c>
      <c r="Q27" s="53">
        <f t="shared" si="21"/>
        <v>1961113.24</v>
      </c>
    </row>
    <row r="28" spans="1:24">
      <c r="A28" s="47" t="str">
        <f>A346</f>
        <v>WINCHESTER TOWN</v>
      </c>
      <c r="B28" s="48">
        <f t="shared" ref="B28:Q28" si="22">B355</f>
        <v>0.2064</v>
      </c>
      <c r="C28" s="48">
        <f t="shared" si="22"/>
        <v>0</v>
      </c>
      <c r="D28" s="43">
        <f t="shared" si="22"/>
        <v>9247</v>
      </c>
      <c r="E28" s="173"/>
      <c r="F28" s="43">
        <f t="shared" si="22"/>
        <v>4680831110.8095341</v>
      </c>
      <c r="G28" s="53">
        <f t="shared" si="22"/>
        <v>63022.86</v>
      </c>
      <c r="H28" s="53">
        <f t="shared" si="22"/>
        <v>6415479.9099999992</v>
      </c>
      <c r="I28" s="53">
        <f t="shared" si="22"/>
        <v>0</v>
      </c>
      <c r="J28" s="53">
        <f t="shared" si="22"/>
        <v>1657392.32</v>
      </c>
      <c r="K28" s="53">
        <f t="shared" si="22"/>
        <v>0</v>
      </c>
      <c r="L28" s="53">
        <f t="shared" si="22"/>
        <v>4821110.4499999993</v>
      </c>
      <c r="M28" s="53">
        <f t="shared" si="22"/>
        <v>1117682.2699999998</v>
      </c>
      <c r="N28" s="53">
        <f t="shared" si="22"/>
        <v>3703428.1799999997</v>
      </c>
      <c r="O28" s="53">
        <f t="shared" si="22"/>
        <v>4843.3399999999992</v>
      </c>
      <c r="P28" s="53">
        <f>P355</f>
        <v>859.01</v>
      </c>
      <c r="Q28" s="53">
        <f t="shared" si="22"/>
        <v>3697725.83</v>
      </c>
    </row>
    <row r="29" spans="1:24">
      <c r="A29" s="47" t="str">
        <f>A358</f>
        <v>BOULDER CITY LIBRARY</v>
      </c>
      <c r="B29" s="48">
        <f t="shared" ref="B29:Q29" si="23">B367</f>
        <v>0.22220000000000001</v>
      </c>
      <c r="C29" s="48">
        <f t="shared" si="23"/>
        <v>0</v>
      </c>
      <c r="D29" s="43">
        <f t="shared" si="23"/>
        <v>7847</v>
      </c>
      <c r="E29" s="173"/>
      <c r="F29" s="43">
        <f t="shared" si="23"/>
        <v>1558777280.0638163</v>
      </c>
      <c r="G29" s="53">
        <f t="shared" si="23"/>
        <v>129451.28</v>
      </c>
      <c r="H29" s="53">
        <f t="shared" si="23"/>
        <v>2958088.1599999997</v>
      </c>
      <c r="I29" s="53">
        <f t="shared" si="23"/>
        <v>0</v>
      </c>
      <c r="J29" s="53">
        <f t="shared" si="23"/>
        <v>615098.80000000005</v>
      </c>
      <c r="K29" s="53">
        <f t="shared" si="23"/>
        <v>0</v>
      </c>
      <c r="L29" s="53">
        <f t="shared" si="23"/>
        <v>2472440.6399999992</v>
      </c>
      <c r="M29" s="53">
        <f t="shared" si="23"/>
        <v>872502.17999999993</v>
      </c>
      <c r="N29" s="53">
        <f t="shared" si="23"/>
        <v>1599938.4599999995</v>
      </c>
      <c r="O29" s="53">
        <f t="shared" si="23"/>
        <v>7241.12</v>
      </c>
      <c r="P29" s="53">
        <f>P367</f>
        <v>361.39000000000004</v>
      </c>
      <c r="Q29" s="53">
        <f t="shared" si="23"/>
        <v>1592335.9499999995</v>
      </c>
      <c r="S29" s="53">
        <f>SUM(L29:L50)</f>
        <v>800710867.26000023</v>
      </c>
      <c r="T29" s="53">
        <f>SUM(Q29:Q50)</f>
        <v>637847536.25000012</v>
      </c>
    </row>
    <row r="30" spans="1:24" hidden="1">
      <c r="A30" s="47" t="str">
        <f>A370</f>
        <v>BOULDER CITY LIBRARY DEBT</v>
      </c>
      <c r="B30" s="48">
        <f t="shared" ref="B30:Q30" si="24">B379</f>
        <v>0</v>
      </c>
      <c r="C30" s="48">
        <f t="shared" si="24"/>
        <v>0</v>
      </c>
      <c r="D30" s="43">
        <f t="shared" si="24"/>
        <v>0</v>
      </c>
      <c r="E30" s="173"/>
      <c r="F30" s="43">
        <f t="shared" si="24"/>
        <v>0</v>
      </c>
      <c r="G30" s="53">
        <f t="shared" si="24"/>
        <v>0</v>
      </c>
      <c r="H30" s="53">
        <f t="shared" si="24"/>
        <v>0</v>
      </c>
      <c r="I30" s="53">
        <f t="shared" si="24"/>
        <v>0</v>
      </c>
      <c r="J30" s="53">
        <f t="shared" si="24"/>
        <v>0</v>
      </c>
      <c r="K30" s="53">
        <f t="shared" si="24"/>
        <v>0</v>
      </c>
      <c r="L30" s="53">
        <f t="shared" si="24"/>
        <v>0</v>
      </c>
      <c r="M30" s="53">
        <f t="shared" si="24"/>
        <v>0</v>
      </c>
      <c r="N30" s="53">
        <f t="shared" si="24"/>
        <v>0</v>
      </c>
      <c r="O30" s="53">
        <f t="shared" si="24"/>
        <v>0</v>
      </c>
      <c r="P30" s="53">
        <f>P379</f>
        <v>0</v>
      </c>
      <c r="Q30" s="53">
        <f t="shared" si="24"/>
        <v>0</v>
      </c>
    </row>
    <row r="31" spans="1:24">
      <c r="A31" s="47" t="str">
        <f>A382</f>
        <v>BOULDER CITY REDEVELOPMENT</v>
      </c>
      <c r="B31" s="48">
        <f t="shared" ref="B31:Q31" si="25">B391</f>
        <v>0</v>
      </c>
      <c r="C31" s="48">
        <f t="shared" si="25"/>
        <v>0</v>
      </c>
      <c r="D31" s="43">
        <f t="shared" si="25"/>
        <v>865</v>
      </c>
      <c r="E31" s="173"/>
      <c r="F31" s="399">
        <f t="shared" si="25"/>
        <v>226918353.05000001</v>
      </c>
      <c r="G31" s="53">
        <f t="shared" si="25"/>
        <v>7477.64</v>
      </c>
      <c r="H31" s="53">
        <f t="shared" si="25"/>
        <v>3459096.37</v>
      </c>
      <c r="I31" s="53">
        <f t="shared" si="25"/>
        <v>0</v>
      </c>
      <c r="J31" s="53">
        <f t="shared" si="25"/>
        <v>1395227.53</v>
      </c>
      <c r="K31" s="53">
        <f t="shared" si="25"/>
        <v>0</v>
      </c>
      <c r="L31" s="53">
        <f t="shared" si="25"/>
        <v>2071346.4800000002</v>
      </c>
      <c r="M31" s="53">
        <f t="shared" si="25"/>
        <v>242949.89</v>
      </c>
      <c r="N31" s="53">
        <f t="shared" si="25"/>
        <v>1828396.5900000003</v>
      </c>
      <c r="O31" s="53">
        <f t="shared" si="25"/>
        <v>0</v>
      </c>
      <c r="P31" s="53">
        <f t="shared" si="25"/>
        <v>0</v>
      </c>
      <c r="Q31" s="53">
        <f t="shared" si="25"/>
        <v>1828396.5900000003</v>
      </c>
    </row>
    <row r="32" spans="1:24">
      <c r="A32" s="49" t="str">
        <f>A394</f>
        <v>CLARK COUNTY FIRE SERVICE</v>
      </c>
      <c r="B32" s="48">
        <f t="shared" ref="B32:Q32" si="26">B403</f>
        <v>0.21970000000000001</v>
      </c>
      <c r="C32" s="48">
        <f t="shared" si="26"/>
        <v>0</v>
      </c>
      <c r="D32" s="43">
        <f t="shared" si="26"/>
        <v>344018</v>
      </c>
      <c r="E32" s="173"/>
      <c r="F32" s="43">
        <f t="shared" si="26"/>
        <v>86932890209.979462</v>
      </c>
      <c r="G32" s="53">
        <f t="shared" si="26"/>
        <v>3042130.89</v>
      </c>
      <c r="H32" s="53">
        <f t="shared" si="26"/>
        <v>184851515.08999997</v>
      </c>
      <c r="I32" s="53">
        <f t="shared" si="26"/>
        <v>0</v>
      </c>
      <c r="J32" s="53">
        <f t="shared" si="26"/>
        <v>16403758.689999998</v>
      </c>
      <c r="K32" s="53">
        <f t="shared" si="26"/>
        <v>0</v>
      </c>
      <c r="L32" s="53">
        <f t="shared" si="26"/>
        <v>171489887.28999999</v>
      </c>
      <c r="M32" s="53">
        <f t="shared" si="26"/>
        <v>33882602.670000002</v>
      </c>
      <c r="N32" s="53">
        <f t="shared" si="26"/>
        <v>137607284.62</v>
      </c>
      <c r="O32" s="53">
        <f t="shared" si="26"/>
        <v>5693.03</v>
      </c>
      <c r="P32" s="53">
        <f>P403</f>
        <v>33097.949999999997</v>
      </c>
      <c r="Q32" s="53">
        <f t="shared" si="26"/>
        <v>137568493.64000002</v>
      </c>
    </row>
    <row r="33" spans="1:17">
      <c r="A33" s="49" t="str">
        <f>A406</f>
        <v>MOAPA TOWN VOTER OVERRIDE PARKS</v>
      </c>
      <c r="B33" s="48">
        <f t="shared" ref="B33:Q33" si="27">B415</f>
        <v>8.9399999999999993E-2</v>
      </c>
      <c r="C33" s="48">
        <f t="shared" si="27"/>
        <v>0</v>
      </c>
      <c r="D33" s="43">
        <f>D408</f>
        <v>1083</v>
      </c>
      <c r="E33" s="173"/>
      <c r="F33" s="43">
        <f t="shared" si="27"/>
        <v>106216537.38</v>
      </c>
      <c r="G33" s="53">
        <f t="shared" si="27"/>
        <v>2712.1</v>
      </c>
      <c r="H33" s="53">
        <f t="shared" si="27"/>
        <v>92243.08</v>
      </c>
      <c r="I33" s="53">
        <f t="shared" si="27"/>
        <v>0</v>
      </c>
      <c r="J33" s="53">
        <f t="shared" si="27"/>
        <v>44708.5</v>
      </c>
      <c r="K33" s="53">
        <f t="shared" si="27"/>
        <v>0</v>
      </c>
      <c r="L33" s="53">
        <f t="shared" si="27"/>
        <v>50246.68</v>
      </c>
      <c r="M33" s="53">
        <f t="shared" si="27"/>
        <v>4134.82</v>
      </c>
      <c r="N33" s="53">
        <f t="shared" si="27"/>
        <v>46111.86</v>
      </c>
      <c r="O33" s="53">
        <f t="shared" si="27"/>
        <v>0</v>
      </c>
      <c r="P33" s="53">
        <f>P415</f>
        <v>57.27</v>
      </c>
      <c r="Q33" s="53">
        <f t="shared" si="27"/>
        <v>46054.590000000004</v>
      </c>
    </row>
    <row r="34" spans="1:17" ht="12.6" customHeight="1">
      <c r="A34" s="49" t="str">
        <f>A418</f>
        <v>HENDERSON PUBLIC LIBRARY</v>
      </c>
      <c r="B34" s="550">
        <f>+B420</f>
        <v>6.2600000000000003E-2</v>
      </c>
      <c r="C34" s="48">
        <f t="shared" ref="C34:Q34" si="28">C427</f>
        <v>0</v>
      </c>
      <c r="D34" s="43">
        <f t="shared" si="28"/>
        <v>145667</v>
      </c>
      <c r="E34" s="173"/>
      <c r="F34" s="43">
        <f t="shared" si="28"/>
        <v>29310132914.589298</v>
      </c>
      <c r="G34" s="53">
        <f t="shared" si="28"/>
        <v>249807.11000000002</v>
      </c>
      <c r="H34" s="53">
        <f t="shared" si="28"/>
        <v>16069454.600000001</v>
      </c>
      <c r="I34" s="53">
        <f t="shared" si="28"/>
        <v>0</v>
      </c>
      <c r="J34" s="53">
        <f t="shared" si="28"/>
        <v>1057273.32</v>
      </c>
      <c r="K34" s="53">
        <f t="shared" si="28"/>
        <v>0</v>
      </c>
      <c r="L34" s="53">
        <f t="shared" si="28"/>
        <v>15261988.390000002</v>
      </c>
      <c r="M34" s="53">
        <f t="shared" si="28"/>
        <v>3962498.98</v>
      </c>
      <c r="N34" s="53">
        <f t="shared" si="28"/>
        <v>11299489.410000002</v>
      </c>
      <c r="O34" s="53">
        <f t="shared" si="28"/>
        <v>27764.74</v>
      </c>
      <c r="P34" s="53">
        <f>P427</f>
        <v>4029.58</v>
      </c>
      <c r="Q34" s="53">
        <f t="shared" si="28"/>
        <v>11267695.09</v>
      </c>
    </row>
    <row r="35" spans="1:17">
      <c r="A35" s="49" t="str">
        <f>A430</f>
        <v>HENDERSON REDEVELOPMENT</v>
      </c>
      <c r="B35" s="48">
        <f t="shared" ref="B35:Q35" si="29">B439</f>
        <v>0</v>
      </c>
      <c r="C35" s="48">
        <f t="shared" si="29"/>
        <v>0</v>
      </c>
      <c r="D35" s="43">
        <f t="shared" si="29"/>
        <v>23417</v>
      </c>
      <c r="E35" s="173"/>
      <c r="F35" s="399">
        <f t="shared" si="29"/>
        <v>4367395042.7399998</v>
      </c>
      <c r="G35" s="53">
        <f t="shared" si="29"/>
        <v>2269115.34</v>
      </c>
      <c r="H35" s="53">
        <f t="shared" si="29"/>
        <v>79286952.189999998</v>
      </c>
      <c r="I35" s="53">
        <f t="shared" si="29"/>
        <v>0</v>
      </c>
      <c r="J35" s="53">
        <f t="shared" si="29"/>
        <v>8385643.7199999997</v>
      </c>
      <c r="K35" s="53">
        <f t="shared" si="29"/>
        <v>0</v>
      </c>
      <c r="L35" s="53">
        <f t="shared" si="29"/>
        <v>73170423.810000002</v>
      </c>
      <c r="M35" s="53">
        <f t="shared" si="29"/>
        <v>11306323.119999999</v>
      </c>
      <c r="N35" s="53">
        <f t="shared" si="29"/>
        <v>61864100.690000005</v>
      </c>
      <c r="O35" s="53">
        <f t="shared" si="29"/>
        <v>0</v>
      </c>
      <c r="P35" s="53">
        <f>P439</f>
        <v>0</v>
      </c>
      <c r="Q35" s="53">
        <f t="shared" si="29"/>
        <v>61864100.690000005</v>
      </c>
    </row>
    <row r="36" spans="1:17">
      <c r="A36" s="49" t="str">
        <f>A442</f>
        <v>CLARK COUNTY REDEVELOPMENT</v>
      </c>
      <c r="B36" s="48">
        <f t="shared" ref="B36:Q36" si="30">B451</f>
        <v>0</v>
      </c>
      <c r="C36" s="48">
        <f t="shared" si="30"/>
        <v>0</v>
      </c>
      <c r="D36" s="43">
        <f t="shared" si="30"/>
        <v>6302</v>
      </c>
      <c r="E36" s="173"/>
      <c r="F36" s="399">
        <f t="shared" si="30"/>
        <v>2597877452.9899998</v>
      </c>
      <c r="G36" s="53">
        <f t="shared" si="30"/>
        <v>18562.330000000002</v>
      </c>
      <c r="H36" s="53">
        <f t="shared" si="30"/>
        <v>30434527.009999998</v>
      </c>
      <c r="I36" s="53">
        <f t="shared" si="30"/>
        <v>0</v>
      </c>
      <c r="J36" s="53">
        <f t="shared" si="30"/>
        <v>2423735.4299999997</v>
      </c>
      <c r="K36" s="53">
        <f t="shared" si="30"/>
        <v>0</v>
      </c>
      <c r="L36" s="53">
        <f t="shared" si="30"/>
        <v>28029353.909999996</v>
      </c>
      <c r="M36" s="53">
        <f t="shared" si="30"/>
        <v>5660353.0700000003</v>
      </c>
      <c r="N36" s="53">
        <f t="shared" si="30"/>
        <v>22369000.839999996</v>
      </c>
      <c r="O36" s="53">
        <f t="shared" si="30"/>
        <v>0</v>
      </c>
      <c r="P36" s="53">
        <f>P451</f>
        <v>0</v>
      </c>
      <c r="Q36" s="53">
        <f t="shared" si="30"/>
        <v>22369000.839999996</v>
      </c>
    </row>
    <row r="37" spans="1:17" hidden="1">
      <c r="A37" s="14" t="str">
        <f>A454</f>
        <v>FF INC ABATEMENT TRUST</v>
      </c>
      <c r="B37" s="48">
        <f>B463</f>
        <v>0</v>
      </c>
      <c r="C37" s="48">
        <f>C463</f>
        <v>0</v>
      </c>
      <c r="D37" s="43">
        <f>D463</f>
        <v>0</v>
      </c>
      <c r="E37" s="173"/>
      <c r="F37" s="43">
        <f t="shared" ref="F37:Q37" si="31">F463</f>
        <v>0</v>
      </c>
      <c r="G37" s="53">
        <f t="shared" si="31"/>
        <v>0</v>
      </c>
      <c r="H37" s="53">
        <f t="shared" si="31"/>
        <v>0</v>
      </c>
      <c r="I37" s="53">
        <f t="shared" si="31"/>
        <v>0</v>
      </c>
      <c r="J37" s="53">
        <f t="shared" si="31"/>
        <v>0</v>
      </c>
      <c r="K37" s="53">
        <f t="shared" si="31"/>
        <v>0</v>
      </c>
      <c r="L37" s="53">
        <f t="shared" si="31"/>
        <v>0</v>
      </c>
      <c r="M37" s="53">
        <f t="shared" si="31"/>
        <v>0</v>
      </c>
      <c r="N37" s="53">
        <f t="shared" si="31"/>
        <v>0</v>
      </c>
      <c r="O37" s="53">
        <f t="shared" si="31"/>
        <v>0</v>
      </c>
      <c r="P37" s="53">
        <f t="shared" si="31"/>
        <v>0</v>
      </c>
      <c r="Q37" s="53">
        <f t="shared" si="31"/>
        <v>0</v>
      </c>
    </row>
    <row r="38" spans="1:17">
      <c r="A38" s="49" t="str">
        <f>A466</f>
        <v>LAS VEGAS/CLARK COUNTY LIBRARY</v>
      </c>
      <c r="B38" s="48">
        <f t="shared" ref="B38:Q38" si="32">B475</f>
        <v>9.4200000000000006E-2</v>
      </c>
      <c r="C38" s="48">
        <f t="shared" si="32"/>
        <v>0</v>
      </c>
      <c r="D38" s="43">
        <f t="shared" si="32"/>
        <v>610280</v>
      </c>
      <c r="E38" s="173"/>
      <c r="F38" s="43">
        <f t="shared" si="32"/>
        <v>132241468826.1274</v>
      </c>
      <c r="G38" s="53">
        <f t="shared" si="32"/>
        <v>2710297.53</v>
      </c>
      <c r="H38" s="53">
        <f t="shared" si="32"/>
        <v>117686340.90999998</v>
      </c>
      <c r="I38" s="53">
        <f t="shared" si="32"/>
        <v>0</v>
      </c>
      <c r="J38" s="53">
        <f t="shared" si="32"/>
        <v>12000872.689999999</v>
      </c>
      <c r="K38" s="53">
        <f t="shared" si="32"/>
        <v>0</v>
      </c>
      <c r="L38" s="53">
        <f t="shared" si="32"/>
        <v>108395765.74999999</v>
      </c>
      <c r="M38" s="53">
        <f t="shared" si="32"/>
        <v>26421628.089999996</v>
      </c>
      <c r="N38" s="53">
        <f t="shared" si="32"/>
        <v>81974137.659999996</v>
      </c>
      <c r="O38" s="53">
        <f t="shared" si="32"/>
        <v>30640.239999999998</v>
      </c>
      <c r="P38" s="53">
        <f>P475</f>
        <v>30626.58</v>
      </c>
      <c r="Q38" s="53">
        <f t="shared" si="32"/>
        <v>81912870.840000004</v>
      </c>
    </row>
    <row r="39" spans="1:17" hidden="1">
      <c r="A39" s="49" t="str">
        <f>A478</f>
        <v>LAS VEGAS/CLARK COUNTY LIBRARY - DEBT</v>
      </c>
      <c r="B39" s="48">
        <f t="shared" ref="B39:Q39" si="33">B487</f>
        <v>0</v>
      </c>
      <c r="C39" s="48">
        <f t="shared" si="33"/>
        <v>0</v>
      </c>
      <c r="D39" s="43">
        <f t="shared" si="33"/>
        <v>0</v>
      </c>
      <c r="E39" s="173"/>
      <c r="F39" s="43">
        <f t="shared" si="33"/>
        <v>0</v>
      </c>
      <c r="G39" s="53">
        <f t="shared" si="33"/>
        <v>0</v>
      </c>
      <c r="H39" s="53">
        <f t="shared" si="33"/>
        <v>0</v>
      </c>
      <c r="I39" s="53">
        <f t="shared" si="33"/>
        <v>0</v>
      </c>
      <c r="J39" s="53">
        <f t="shared" si="33"/>
        <v>0</v>
      </c>
      <c r="K39" s="53">
        <f t="shared" si="33"/>
        <v>0</v>
      </c>
      <c r="L39" s="53">
        <f t="shared" si="33"/>
        <v>0</v>
      </c>
      <c r="M39" s="53">
        <f t="shared" si="33"/>
        <v>0</v>
      </c>
      <c r="N39" s="53">
        <f t="shared" si="33"/>
        <v>0</v>
      </c>
      <c r="O39" s="53">
        <f t="shared" si="33"/>
        <v>0</v>
      </c>
      <c r="P39" s="53">
        <f>P487</f>
        <v>0</v>
      </c>
      <c r="Q39" s="53">
        <f t="shared" si="33"/>
        <v>0</v>
      </c>
    </row>
    <row r="40" spans="1:17" hidden="1">
      <c r="A40" s="49" t="str">
        <f>A490</f>
        <v>LOWER MOAPA VALLEY GWB</v>
      </c>
      <c r="B40" s="48">
        <f t="shared" ref="B40:Q40" si="34">B499</f>
        <v>0</v>
      </c>
      <c r="C40" s="48">
        <f t="shared" si="34"/>
        <v>0</v>
      </c>
      <c r="D40" s="43">
        <f t="shared" si="34"/>
        <v>0</v>
      </c>
      <c r="E40" s="173"/>
      <c r="F40" s="43">
        <f t="shared" si="34"/>
        <v>0</v>
      </c>
      <c r="G40" s="53">
        <f t="shared" si="34"/>
        <v>0</v>
      </c>
      <c r="H40" s="53">
        <f t="shared" si="34"/>
        <v>0</v>
      </c>
      <c r="I40" s="53">
        <f t="shared" si="34"/>
        <v>0</v>
      </c>
      <c r="J40" s="53">
        <f t="shared" si="34"/>
        <v>0</v>
      </c>
      <c r="K40" s="53">
        <f t="shared" si="34"/>
        <v>0</v>
      </c>
      <c r="L40" s="53">
        <f t="shared" si="34"/>
        <v>0</v>
      </c>
      <c r="M40" s="53">
        <f t="shared" si="34"/>
        <v>0</v>
      </c>
      <c r="N40" s="53">
        <f t="shared" si="34"/>
        <v>0</v>
      </c>
      <c r="O40" s="53">
        <f t="shared" si="34"/>
        <v>0</v>
      </c>
      <c r="P40" s="53">
        <f>P499</f>
        <v>0</v>
      </c>
      <c r="Q40" s="53">
        <f t="shared" si="34"/>
        <v>0</v>
      </c>
    </row>
    <row r="41" spans="1:17">
      <c r="A41" s="49" t="str">
        <f>A502</f>
        <v>LVMPD MANPOWER (LV)</v>
      </c>
      <c r="B41" s="48">
        <f t="shared" ref="B41:Q41" si="35">B511</f>
        <v>0.28000000000000003</v>
      </c>
      <c r="C41" s="48">
        <f t="shared" si="35"/>
        <v>0</v>
      </c>
      <c r="D41" s="43">
        <f t="shared" si="35"/>
        <v>227865</v>
      </c>
      <c r="E41" s="173"/>
      <c r="F41" s="43">
        <f t="shared" si="35"/>
        <v>38323214617.25428</v>
      </c>
      <c r="G41" s="53">
        <f t="shared" si="35"/>
        <v>2027589.52</v>
      </c>
      <c r="H41" s="53">
        <f t="shared" si="35"/>
        <v>103052950.54000001</v>
      </c>
      <c r="I41" s="53">
        <f t="shared" si="35"/>
        <v>0</v>
      </c>
      <c r="J41" s="53">
        <f t="shared" si="35"/>
        <v>9444775.5099999998</v>
      </c>
      <c r="K41" s="53">
        <f t="shared" si="35"/>
        <v>0</v>
      </c>
      <c r="L41" s="53">
        <f t="shared" si="35"/>
        <v>95635764.550000012</v>
      </c>
      <c r="M41" s="53">
        <f t="shared" si="35"/>
        <v>21017188.32</v>
      </c>
      <c r="N41" s="53">
        <f t="shared" si="35"/>
        <v>74618576.230000004</v>
      </c>
      <c r="O41" s="53">
        <f t="shared" si="35"/>
        <v>80175.689999999988</v>
      </c>
      <c r="P41" s="53">
        <f>P511</f>
        <v>25539.53</v>
      </c>
      <c r="Q41" s="53">
        <f t="shared" si="35"/>
        <v>74512861.010000005</v>
      </c>
    </row>
    <row r="42" spans="1:17">
      <c r="A42" s="49" t="str">
        <f>A514</f>
        <v>LVMPD MANPOWER (CO)</v>
      </c>
      <c r="B42" s="48">
        <f t="shared" ref="B42:Q42" si="36">B523</f>
        <v>0.28000000000000003</v>
      </c>
      <c r="C42" s="48">
        <f t="shared" si="36"/>
        <v>0</v>
      </c>
      <c r="D42" s="43">
        <f t="shared" si="36"/>
        <v>367110</v>
      </c>
      <c r="E42" s="173"/>
      <c r="F42" s="43">
        <f t="shared" si="36"/>
        <v>91423485563.587158</v>
      </c>
      <c r="G42" s="53">
        <f t="shared" si="36"/>
        <v>5813010.4400000004</v>
      </c>
      <c r="H42" s="53">
        <f t="shared" si="36"/>
        <v>249030371.27000004</v>
      </c>
      <c r="I42" s="53">
        <f t="shared" si="36"/>
        <v>0</v>
      </c>
      <c r="J42" s="53">
        <f t="shared" si="36"/>
        <v>27804286.829999998</v>
      </c>
      <c r="K42" s="53">
        <f t="shared" si="36"/>
        <v>0</v>
      </c>
      <c r="L42" s="53">
        <f t="shared" si="36"/>
        <v>227039094.88</v>
      </c>
      <c r="M42" s="53">
        <f t="shared" si="36"/>
        <v>44917027.140000001</v>
      </c>
      <c r="N42" s="53">
        <f t="shared" si="36"/>
        <v>182122067.74000004</v>
      </c>
      <c r="O42" s="53">
        <f t="shared" si="36"/>
        <v>7255.61</v>
      </c>
      <c r="P42" s="53">
        <f>P523</f>
        <v>74585.58</v>
      </c>
      <c r="Q42" s="53">
        <f t="shared" si="36"/>
        <v>182040226.55000004</v>
      </c>
    </row>
    <row r="43" spans="1:17">
      <c r="A43" s="49" t="str">
        <f>A526</f>
        <v>LVMPD EMERGENCY 911</v>
      </c>
      <c r="B43" s="48">
        <f t="shared" ref="B43:Q43" si="37">B535</f>
        <v>5.0000000000000001E-3</v>
      </c>
      <c r="C43" s="48">
        <f t="shared" si="37"/>
        <v>0</v>
      </c>
      <c r="D43" s="43">
        <f t="shared" si="37"/>
        <v>578814</v>
      </c>
      <c r="E43" s="173"/>
      <c r="F43" s="43">
        <f t="shared" si="37"/>
        <v>125402158505.13</v>
      </c>
      <c r="G43" s="53">
        <f t="shared" si="37"/>
        <v>96613.08</v>
      </c>
      <c r="H43" s="53">
        <f t="shared" si="37"/>
        <v>5964537.4699999997</v>
      </c>
      <c r="I43" s="53">
        <f t="shared" si="37"/>
        <v>0</v>
      </c>
      <c r="J43" s="53">
        <f t="shared" si="37"/>
        <v>533408.35</v>
      </c>
      <c r="K43" s="53">
        <f t="shared" si="37"/>
        <v>0</v>
      </c>
      <c r="L43" s="53">
        <f t="shared" si="37"/>
        <v>5527742.1999999993</v>
      </c>
      <c r="M43" s="53">
        <f t="shared" si="37"/>
        <v>1136670.07</v>
      </c>
      <c r="N43" s="53">
        <f t="shared" si="37"/>
        <v>4391072.129999998</v>
      </c>
      <c r="O43" s="53">
        <f t="shared" si="37"/>
        <v>1561.22</v>
      </c>
      <c r="P43" s="53">
        <f>P535</f>
        <v>1410.82</v>
      </c>
      <c r="Q43" s="53">
        <f t="shared" si="37"/>
        <v>4388100.089999998</v>
      </c>
    </row>
    <row r="44" spans="1:17">
      <c r="A44" s="49" t="str">
        <f>A538</f>
        <v>LAS VEGAS REDEVELOPMENT</v>
      </c>
      <c r="B44" s="48">
        <f t="shared" ref="B44:Q44" si="38">B547</f>
        <v>0</v>
      </c>
      <c r="C44" s="48">
        <f t="shared" si="38"/>
        <v>0</v>
      </c>
      <c r="D44" s="43">
        <f t="shared" si="38"/>
        <v>8596</v>
      </c>
      <c r="E44" s="173"/>
      <c r="F44" s="399">
        <f t="shared" si="38"/>
        <v>4179698780.9900002</v>
      </c>
      <c r="G44" s="53">
        <f t="shared" si="38"/>
        <v>90439.679999999993</v>
      </c>
      <c r="H44" s="53">
        <f t="shared" si="38"/>
        <v>66848477.719999999</v>
      </c>
      <c r="I44" s="53">
        <f t="shared" si="38"/>
        <v>0</v>
      </c>
      <c r="J44" s="53">
        <f t="shared" si="38"/>
        <v>16969015.920000002</v>
      </c>
      <c r="K44" s="53">
        <f t="shared" si="38"/>
        <v>0</v>
      </c>
      <c r="L44" s="53">
        <f t="shared" si="38"/>
        <v>49969901.479999997</v>
      </c>
      <c r="M44" s="53">
        <f t="shared" si="38"/>
        <v>8391183.8000000007</v>
      </c>
      <c r="N44" s="53">
        <f t="shared" si="38"/>
        <v>41578717.679999992</v>
      </c>
      <c r="O44" s="53">
        <f t="shared" si="38"/>
        <v>0</v>
      </c>
      <c r="P44" s="53">
        <f>P547</f>
        <v>0</v>
      </c>
      <c r="Q44" s="53">
        <f t="shared" si="38"/>
        <v>41578717.679999992</v>
      </c>
    </row>
    <row r="45" spans="1:17">
      <c r="A45" s="49" t="str">
        <f>A550</f>
        <v>MESQUITE REDEVELOPMENT</v>
      </c>
      <c r="B45" s="48">
        <f t="shared" ref="B45:Q45" si="39">B559</f>
        <v>0</v>
      </c>
      <c r="C45" s="48">
        <f t="shared" si="39"/>
        <v>0</v>
      </c>
      <c r="D45" s="43">
        <f t="shared" si="39"/>
        <v>1417</v>
      </c>
      <c r="E45" s="173"/>
      <c r="F45" s="399">
        <f t="shared" si="39"/>
        <v>325875008.36000001</v>
      </c>
      <c r="G45" s="53">
        <f t="shared" si="39"/>
        <v>18448.96</v>
      </c>
      <c r="H45" s="53">
        <f t="shared" si="39"/>
        <v>5574213.1500000004</v>
      </c>
      <c r="I45" s="53">
        <f t="shared" si="39"/>
        <v>0</v>
      </c>
      <c r="J45" s="53">
        <f t="shared" si="39"/>
        <v>196970.65</v>
      </c>
      <c r="K45" s="53">
        <f t="shared" si="39"/>
        <v>0</v>
      </c>
      <c r="L45" s="53">
        <f t="shared" si="39"/>
        <v>5395691.46</v>
      </c>
      <c r="M45" s="53">
        <f t="shared" si="39"/>
        <v>1014340.23</v>
      </c>
      <c r="N45" s="53">
        <f t="shared" si="39"/>
        <v>4381351.2300000004</v>
      </c>
      <c r="O45" s="53">
        <f t="shared" si="39"/>
        <v>0</v>
      </c>
      <c r="P45" s="53">
        <f>P559</f>
        <v>0</v>
      </c>
      <c r="Q45" s="53">
        <f t="shared" si="39"/>
        <v>4381351.2300000004</v>
      </c>
    </row>
    <row r="46" spans="1:17">
      <c r="A46" s="49" t="str">
        <f>A562</f>
        <v>MT CHARLESTON FIRE</v>
      </c>
      <c r="B46" s="48">
        <f t="shared" ref="B46:Q46" si="40">B571</f>
        <v>0.88129999999999997</v>
      </c>
      <c r="C46" s="48">
        <f t="shared" si="40"/>
        <v>0</v>
      </c>
      <c r="D46" s="43">
        <f t="shared" si="40"/>
        <v>1146</v>
      </c>
      <c r="E46" s="173"/>
      <c r="F46" s="43">
        <f t="shared" si="40"/>
        <v>117275828.77999999</v>
      </c>
      <c r="G46" s="53">
        <f t="shared" si="40"/>
        <v>4040.12</v>
      </c>
      <c r="H46" s="53">
        <f t="shared" si="40"/>
        <v>1029441.6</v>
      </c>
      <c r="I46" s="53">
        <f t="shared" si="40"/>
        <v>0</v>
      </c>
      <c r="J46" s="53">
        <f t="shared" si="40"/>
        <v>282192.35000000003</v>
      </c>
      <c r="K46" s="53">
        <f t="shared" si="40"/>
        <v>0</v>
      </c>
      <c r="L46" s="53">
        <f t="shared" si="40"/>
        <v>751289.36999999988</v>
      </c>
      <c r="M46" s="53">
        <f t="shared" si="40"/>
        <v>197260.96</v>
      </c>
      <c r="N46" s="53">
        <f t="shared" si="40"/>
        <v>554028.40999999992</v>
      </c>
      <c r="O46" s="53">
        <f t="shared" si="40"/>
        <v>0</v>
      </c>
      <c r="P46" s="53">
        <f>P571</f>
        <v>478.39</v>
      </c>
      <c r="Q46" s="53">
        <f t="shared" si="40"/>
        <v>553550.0199999999</v>
      </c>
    </row>
    <row r="47" spans="1:17" hidden="1">
      <c r="A47" s="49" t="str">
        <f>A574</f>
        <v>MUDDY RIVER SPRINGS WATER BASIN</v>
      </c>
      <c r="B47" s="48">
        <f t="shared" ref="B47:Q47" si="41">B583</f>
        <v>0</v>
      </c>
      <c r="C47" s="48">
        <f t="shared" si="41"/>
        <v>0</v>
      </c>
      <c r="D47" s="43">
        <f t="shared" si="41"/>
        <v>0</v>
      </c>
      <c r="E47" s="173"/>
      <c r="F47" s="43">
        <f t="shared" si="41"/>
        <v>0</v>
      </c>
      <c r="G47" s="53">
        <f t="shared" si="41"/>
        <v>0</v>
      </c>
      <c r="H47" s="53">
        <f t="shared" si="41"/>
        <v>0</v>
      </c>
      <c r="I47" s="53">
        <f t="shared" si="41"/>
        <v>0</v>
      </c>
      <c r="J47" s="53">
        <f t="shared" si="41"/>
        <v>0</v>
      </c>
      <c r="K47" s="53">
        <f t="shared" si="41"/>
        <v>0</v>
      </c>
      <c r="L47" s="53">
        <f t="shared" si="41"/>
        <v>0</v>
      </c>
      <c r="M47" s="53">
        <f t="shared" si="41"/>
        <v>0</v>
      </c>
      <c r="N47" s="53">
        <f t="shared" si="41"/>
        <v>0</v>
      </c>
      <c r="O47" s="53">
        <f t="shared" si="41"/>
        <v>0</v>
      </c>
      <c r="P47" s="53">
        <f>P583</f>
        <v>0</v>
      </c>
      <c r="Q47" s="53">
        <f t="shared" si="41"/>
        <v>0</v>
      </c>
    </row>
    <row r="48" spans="1:17">
      <c r="A48" s="49" t="str">
        <f>A586</f>
        <v>NORTH LAS VEGAS CITY LIBRARY</v>
      </c>
      <c r="B48" s="48">
        <f t="shared" ref="B48:Q48" si="42">B595</f>
        <v>6.3200000000000006E-2</v>
      </c>
      <c r="C48" s="48">
        <f t="shared" si="42"/>
        <v>0</v>
      </c>
      <c r="D48" s="43">
        <f t="shared" si="42"/>
        <v>97110</v>
      </c>
      <c r="E48" s="173"/>
      <c r="F48" s="43">
        <f t="shared" si="42"/>
        <v>17865204205.651394</v>
      </c>
      <c r="G48" s="53">
        <f t="shared" si="42"/>
        <v>230385.78</v>
      </c>
      <c r="H48" s="53">
        <f t="shared" si="42"/>
        <v>10911372.390000001</v>
      </c>
      <c r="I48" s="53">
        <f t="shared" si="42"/>
        <v>0</v>
      </c>
      <c r="J48" s="53">
        <f t="shared" si="42"/>
        <v>1076247.51</v>
      </c>
      <c r="K48" s="53">
        <f t="shared" si="42"/>
        <v>0</v>
      </c>
      <c r="L48" s="53">
        <f t="shared" si="42"/>
        <v>10065510.659999998</v>
      </c>
      <c r="M48" s="53">
        <f t="shared" si="42"/>
        <v>2538061.9700000002</v>
      </c>
      <c r="N48" s="53">
        <f t="shared" si="42"/>
        <v>7527448.6899999995</v>
      </c>
      <c r="O48" s="53">
        <f t="shared" si="42"/>
        <v>3676.47</v>
      </c>
      <c r="P48" s="53">
        <f>P595</f>
        <v>2730.86</v>
      </c>
      <c r="Q48" s="53">
        <f t="shared" si="42"/>
        <v>7521041.3599999994</v>
      </c>
    </row>
    <row r="49" spans="1:20">
      <c r="A49" s="49" t="str">
        <f>A598</f>
        <v>NORTH LAS VEGAS 911</v>
      </c>
      <c r="B49" s="48">
        <f t="shared" ref="B49:Q49" si="43">B607</f>
        <v>5.0000000000000001E-3</v>
      </c>
      <c r="C49" s="48">
        <f t="shared" si="43"/>
        <v>0</v>
      </c>
      <c r="D49" s="43">
        <f t="shared" si="43"/>
        <v>97110</v>
      </c>
      <c r="E49" s="173"/>
      <c r="F49" s="43">
        <f t="shared" si="43"/>
        <v>17865209040.580002</v>
      </c>
      <c r="G49" s="53">
        <f t="shared" si="43"/>
        <v>18226.690000000002</v>
      </c>
      <c r="H49" s="53">
        <f t="shared" si="43"/>
        <v>863241.41</v>
      </c>
      <c r="I49" s="53">
        <f t="shared" si="43"/>
        <v>0</v>
      </c>
      <c r="J49" s="53">
        <f t="shared" si="43"/>
        <v>85146.77</v>
      </c>
      <c r="K49" s="53">
        <f t="shared" si="43"/>
        <v>0</v>
      </c>
      <c r="L49" s="53">
        <f t="shared" si="43"/>
        <v>796321.33</v>
      </c>
      <c r="M49" s="53">
        <f t="shared" si="43"/>
        <v>200796.96</v>
      </c>
      <c r="N49" s="53">
        <f t="shared" si="43"/>
        <v>595524.36999999988</v>
      </c>
      <c r="O49" s="53">
        <f t="shared" si="43"/>
        <v>290.87</v>
      </c>
      <c r="P49" s="53">
        <f>P607</f>
        <v>216.05</v>
      </c>
      <c r="Q49" s="53">
        <f t="shared" si="43"/>
        <v>595017.44999999984</v>
      </c>
    </row>
    <row r="50" spans="1:20">
      <c r="A50" s="49" t="str">
        <f>A610</f>
        <v>NORTH LAS VEGAS REDEVELOPMENT AGENCY</v>
      </c>
      <c r="B50" s="48">
        <f t="shared" ref="B50:Q50" si="44">B619</f>
        <v>0</v>
      </c>
      <c r="C50" s="48">
        <f t="shared" si="44"/>
        <v>0</v>
      </c>
      <c r="D50" s="43">
        <f t="shared" si="44"/>
        <v>1949</v>
      </c>
      <c r="E50" s="173"/>
      <c r="F50" s="399">
        <f t="shared" si="44"/>
        <v>359902642.31999999</v>
      </c>
      <c r="G50" s="53">
        <f t="shared" si="44"/>
        <v>9304.6299999999992</v>
      </c>
      <c r="H50" s="53">
        <f t="shared" si="44"/>
        <v>6488555.21</v>
      </c>
      <c r="I50" s="53">
        <f t="shared" si="44"/>
        <v>0</v>
      </c>
      <c r="J50" s="53">
        <f t="shared" si="44"/>
        <v>1909761.4599999997</v>
      </c>
      <c r="K50" s="53">
        <f t="shared" si="44"/>
        <v>0</v>
      </c>
      <c r="L50" s="53">
        <f t="shared" si="44"/>
        <v>4588098.38</v>
      </c>
      <c r="M50" s="53">
        <f t="shared" si="44"/>
        <v>760375.75</v>
      </c>
      <c r="N50" s="53">
        <f t="shared" si="44"/>
        <v>3827722.63</v>
      </c>
      <c r="O50" s="53">
        <f t="shared" si="44"/>
        <v>0</v>
      </c>
      <c r="P50" s="53">
        <f>P619</f>
        <v>0</v>
      </c>
      <c r="Q50" s="53">
        <f t="shared" si="44"/>
        <v>3827722.63</v>
      </c>
      <c r="T50" s="53"/>
    </row>
    <row r="51" spans="1:20">
      <c r="A51" s="57"/>
      <c r="B51" s="51"/>
      <c r="C51" s="51"/>
      <c r="D51" s="52"/>
      <c r="E51" s="203"/>
      <c r="F51" s="52"/>
    </row>
    <row r="52" spans="1:20" ht="13.5" thickBot="1">
      <c r="A52" s="57" t="s">
        <v>14</v>
      </c>
      <c r="B52" s="51"/>
      <c r="C52" s="51"/>
      <c r="D52" s="69">
        <f>D7</f>
        <v>860904</v>
      </c>
      <c r="E52" s="204"/>
      <c r="F52" s="69">
        <f>F7</f>
        <v>181164136911.33234</v>
      </c>
      <c r="G52" s="70">
        <f t="shared" ref="G52:P52" si="45">SUM(G7:G51)</f>
        <v>116011113.33999996</v>
      </c>
      <c r="H52" s="70">
        <f t="shared" si="45"/>
        <v>5383203126.8600025</v>
      </c>
      <c r="I52" s="70">
        <f t="shared" si="45"/>
        <v>0</v>
      </c>
      <c r="J52" s="70">
        <f t="shared" si="45"/>
        <v>521980062.48000002</v>
      </c>
      <c r="K52" s="70">
        <f t="shared" si="45"/>
        <v>0</v>
      </c>
      <c r="L52" s="70">
        <f t="shared" si="45"/>
        <v>4977234177.7200003</v>
      </c>
      <c r="M52" s="70">
        <f t="shared" si="45"/>
        <v>1029921191.2</v>
      </c>
      <c r="N52" s="70">
        <f t="shared" si="45"/>
        <v>3947312986.5200005</v>
      </c>
      <c r="O52" s="70">
        <f t="shared" si="45"/>
        <v>2271047.4000000004</v>
      </c>
      <c r="P52" s="70">
        <f t="shared" si="45"/>
        <v>1300463.7700000007</v>
      </c>
      <c r="Q52" s="70">
        <f>SUM(Q7:Q51)</f>
        <v>3943741446.1500001</v>
      </c>
      <c r="T52" s="53"/>
    </row>
    <row r="53" spans="1:20" ht="13.5" thickBot="1">
      <c r="A53" s="60"/>
      <c r="B53" s="61"/>
      <c r="C53" s="61"/>
      <c r="D53" s="62"/>
      <c r="E53" s="205"/>
      <c r="F53" s="62"/>
      <c r="G53" s="63"/>
      <c r="H53" s="63"/>
      <c r="I53" s="63"/>
      <c r="J53" s="63"/>
      <c r="K53" s="63"/>
      <c r="L53" s="279" t="s">
        <v>388</v>
      </c>
      <c r="M53" s="280">
        <f>M52/L52</f>
        <v>0.20692640820685521</v>
      </c>
      <c r="N53" s="63"/>
      <c r="O53" s="63"/>
      <c r="P53" s="63"/>
      <c r="Q53" s="63"/>
    </row>
    <row r="54" spans="1:20">
      <c r="A54" s="150"/>
      <c r="B54" s="48"/>
      <c r="C54" s="48"/>
      <c r="D54" s="43"/>
      <c r="E54" s="173"/>
      <c r="F54" s="64"/>
    </row>
    <row r="55" spans="1:20">
      <c r="A55" s="151"/>
      <c r="B55" s="51"/>
      <c r="C55" s="51"/>
      <c r="D55" s="52"/>
      <c r="E55" s="203"/>
      <c r="F55" s="152"/>
      <c r="M55" s="53">
        <f>+M52-1027271917.03</f>
        <v>2649274.1700000763</v>
      </c>
    </row>
    <row r="56" spans="1:20">
      <c r="A56" s="151"/>
      <c r="B56" s="51"/>
      <c r="C56" s="51"/>
      <c r="D56" s="52"/>
      <c r="E56" s="203"/>
      <c r="F56" s="152"/>
    </row>
    <row r="57" spans="1:20">
      <c r="A57" s="54" t="s">
        <v>11</v>
      </c>
      <c r="B57" s="51"/>
      <c r="C57" s="51"/>
      <c r="D57" s="52"/>
      <c r="E57" s="203"/>
      <c r="F57" s="52"/>
    </row>
    <row r="58" spans="1:20">
      <c r="A58" s="47"/>
      <c r="B58" s="48"/>
      <c r="C58" s="48"/>
      <c r="D58" s="43"/>
      <c r="E58" s="65">
        <v>2700000000</v>
      </c>
      <c r="F58" s="43"/>
    </row>
    <row r="59" spans="1:20">
      <c r="A59" s="49" t="s">
        <v>15</v>
      </c>
      <c r="B59" s="48">
        <v>0.17</v>
      </c>
      <c r="C59" s="48">
        <v>0</v>
      </c>
      <c r="D59" s="43">
        <v>860904</v>
      </c>
      <c r="E59" s="173">
        <f>G59/B59*100</f>
        <v>783113694.11764705</v>
      </c>
      <c r="F59" s="43">
        <v>169110064313</v>
      </c>
      <c r="G59" s="53">
        <v>1331293.28</v>
      </c>
      <c r="H59" s="53">
        <v>272826759.02999997</v>
      </c>
      <c r="I59" s="53">
        <v>0</v>
      </c>
      <c r="J59" s="53">
        <v>27748015.699999999</v>
      </c>
      <c r="K59" s="53">
        <v>0</v>
      </c>
      <c r="L59" s="53">
        <f>G59+H59+I59-J59+K59</f>
        <v>246410036.60999995</v>
      </c>
      <c r="M59" s="53">
        <v>54436374.579999998</v>
      </c>
      <c r="N59" s="53">
        <f>L59-M59</f>
        <v>191973662.02999997</v>
      </c>
      <c r="O59" s="53">
        <v>0</v>
      </c>
      <c r="P59" s="53">
        <v>0</v>
      </c>
      <c r="Q59" s="53">
        <f>N59-O59-P59</f>
        <v>191973662.02999997</v>
      </c>
    </row>
    <row r="60" spans="1:20">
      <c r="A60" s="47" t="s">
        <v>16</v>
      </c>
      <c r="B60" s="48">
        <f>B$59</f>
        <v>0.17</v>
      </c>
      <c r="C60" s="48">
        <f>C$59</f>
        <v>0</v>
      </c>
      <c r="D60" s="43"/>
      <c r="E60" s="173">
        <v>1002096167</v>
      </c>
      <c r="F60" s="65">
        <f>IF(E58&gt;E59,E58-E59,0)</f>
        <v>1916886305.8823528</v>
      </c>
      <c r="G60" s="53">
        <f>F60*(B60-C60)/100</f>
        <v>3258706.72</v>
      </c>
      <c r="I60" s="53">
        <f>F60*C60/100</f>
        <v>0</v>
      </c>
      <c r="L60" s="53">
        <f>G60+H60+I60-J60+K60</f>
        <v>3258706.72</v>
      </c>
      <c r="N60" s="53">
        <f>L60-M60</f>
        <v>3258706.72</v>
      </c>
      <c r="Q60" s="53">
        <f>N60-O60-P60</f>
        <v>3258706.72</v>
      </c>
    </row>
    <row r="61" spans="1:20">
      <c r="A61" s="47" t="s">
        <v>17</v>
      </c>
      <c r="B61" s="48">
        <f t="shared" ref="B61:C64" si="46">B$59</f>
        <v>0.17</v>
      </c>
      <c r="C61" s="48">
        <f t="shared" si="46"/>
        <v>0</v>
      </c>
      <c r="D61" s="43"/>
      <c r="E61" s="173"/>
      <c r="F61" s="66">
        <v>7000000000</v>
      </c>
      <c r="H61" s="18">
        <f>F61*(B61-C61)/100</f>
        <v>11900000</v>
      </c>
      <c r="I61" s="53">
        <f>F61*C61/100</f>
        <v>0</v>
      </c>
      <c r="J61" s="53">
        <v>0</v>
      </c>
      <c r="K61" s="53">
        <v>0</v>
      </c>
      <c r="L61" s="53">
        <f>G61+H61+I61-J61+K61</f>
        <v>11900000</v>
      </c>
      <c r="M61" s="53">
        <v>0</v>
      </c>
      <c r="N61" s="53">
        <f>L61-M61</f>
        <v>11900000</v>
      </c>
      <c r="O61" s="53">
        <v>0</v>
      </c>
      <c r="P61" s="53">
        <v>0</v>
      </c>
      <c r="Q61" s="53">
        <f>N61-O61-P61</f>
        <v>11900000</v>
      </c>
    </row>
    <row r="62" spans="1:20">
      <c r="A62" s="47" t="s">
        <v>18</v>
      </c>
      <c r="B62" s="48"/>
      <c r="C62" s="48"/>
      <c r="D62" s="43"/>
      <c r="E62" s="173"/>
      <c r="F62" s="43"/>
    </row>
    <row r="63" spans="1:20">
      <c r="A63" s="67" t="s">
        <v>19</v>
      </c>
      <c r="B63" s="48">
        <f t="shared" si="46"/>
        <v>0.17</v>
      </c>
      <c r="C63" s="48">
        <f t="shared" si="46"/>
        <v>0</v>
      </c>
      <c r="D63" s="43"/>
      <c r="E63" s="173"/>
      <c r="F63" s="43">
        <v>3033950561.1500001</v>
      </c>
      <c r="G63" s="53">
        <v>1820505.3</v>
      </c>
      <c r="H63" s="53">
        <v>3637477.5</v>
      </c>
      <c r="I63" s="53">
        <v>0</v>
      </c>
      <c r="J63" s="53">
        <v>300266.78999999998</v>
      </c>
      <c r="K63" s="53">
        <v>0</v>
      </c>
      <c r="L63" s="53">
        <f>G63+H63+I63-J63+K63</f>
        <v>5157716.01</v>
      </c>
      <c r="M63" s="53">
        <v>171805.66</v>
      </c>
      <c r="N63" s="53">
        <f>L63-M63</f>
        <v>4985910.3499999996</v>
      </c>
      <c r="O63" s="53">
        <v>248421.9</v>
      </c>
      <c r="P63" s="53">
        <v>73118.350000000006</v>
      </c>
      <c r="Q63" s="53">
        <f>N63-O63-P63</f>
        <v>4664370.0999999996</v>
      </c>
    </row>
    <row r="64" spans="1:20">
      <c r="A64" s="67" t="s">
        <v>20</v>
      </c>
      <c r="B64" s="48">
        <f t="shared" si="46"/>
        <v>0.17</v>
      </c>
      <c r="C64" s="48">
        <f t="shared" si="46"/>
        <v>0</v>
      </c>
      <c r="D64" s="43"/>
      <c r="E64" s="173"/>
      <c r="F64" s="43">
        <v>103235731.3</v>
      </c>
      <c r="G64" s="53">
        <v>169167.68</v>
      </c>
      <c r="H64" s="53">
        <v>6331.2</v>
      </c>
      <c r="I64" s="53">
        <v>0</v>
      </c>
      <c r="J64" s="53">
        <v>0</v>
      </c>
      <c r="K64" s="53">
        <v>0</v>
      </c>
      <c r="L64" s="53">
        <f>G64+H64+I64-J64+K64</f>
        <v>175498.88</v>
      </c>
      <c r="M64" s="53">
        <v>1.04</v>
      </c>
      <c r="N64" s="53">
        <f>L64-M64</f>
        <v>175497.84</v>
      </c>
      <c r="O64" s="53">
        <v>0</v>
      </c>
      <c r="P64" s="53">
        <v>838.41</v>
      </c>
      <c r="Q64" s="53">
        <f>N64-O64-P64</f>
        <v>174659.43</v>
      </c>
    </row>
    <row r="65" spans="1:17">
      <c r="A65" s="47"/>
      <c r="B65" s="48"/>
      <c r="C65" s="48"/>
      <c r="D65" s="43"/>
      <c r="E65" s="173"/>
      <c r="F65" s="43"/>
    </row>
    <row r="66" spans="1:17" s="50" customFormat="1" ht="13.5" thickBot="1">
      <c r="A66" s="160" t="str">
        <f>"TOTAL "&amp; A57</f>
        <v>TOTAL STATE OF NEVADA</v>
      </c>
      <c r="B66" s="68">
        <f>B$59</f>
        <v>0.17</v>
      </c>
      <c r="C66" s="68">
        <f>C$59</f>
        <v>0</v>
      </c>
      <c r="D66" s="69">
        <f t="shared" ref="D66:Q66" si="47">SUM(D59:D61,D63:D64)</f>
        <v>860904</v>
      </c>
      <c r="E66" s="204"/>
      <c r="F66" s="69">
        <f>SUM(F59:F61,F63:F64)</f>
        <v>181164136911.33234</v>
      </c>
      <c r="G66" s="70">
        <f t="shared" si="47"/>
        <v>6579672.9799999995</v>
      </c>
      <c r="H66" s="70">
        <f t="shared" si="47"/>
        <v>288370567.72999996</v>
      </c>
      <c r="I66" s="70">
        <f t="shared" si="47"/>
        <v>0</v>
      </c>
      <c r="J66" s="70">
        <f t="shared" si="47"/>
        <v>28048282.489999998</v>
      </c>
      <c r="K66" s="70">
        <f t="shared" si="47"/>
        <v>0</v>
      </c>
      <c r="L66" s="70">
        <f t="shared" si="47"/>
        <v>266901958.21999994</v>
      </c>
      <c r="M66" s="70">
        <f t="shared" si="47"/>
        <v>54608181.279999994</v>
      </c>
      <c r="N66" s="70">
        <f t="shared" si="47"/>
        <v>212293776.93999997</v>
      </c>
      <c r="O66" s="70">
        <f t="shared" si="47"/>
        <v>248421.9</v>
      </c>
      <c r="P66" s="70">
        <f t="shared" si="47"/>
        <v>73956.760000000009</v>
      </c>
      <c r="Q66" s="70">
        <f t="shared" si="47"/>
        <v>211971398.27999997</v>
      </c>
    </row>
    <row r="67" spans="1:17">
      <c r="A67" s="150" t="s">
        <v>355</v>
      </c>
      <c r="B67" s="48"/>
      <c r="C67" s="48"/>
      <c r="D67" s="43"/>
      <c r="E67" s="173"/>
      <c r="F67" s="64">
        <v>156209861253</v>
      </c>
    </row>
    <row r="68" spans="1:17">
      <c r="A68" s="151" t="s">
        <v>30</v>
      </c>
      <c r="B68" s="51"/>
      <c r="C68" s="51"/>
      <c r="D68" s="52"/>
      <c r="E68" s="203"/>
      <c r="F68" s="152">
        <f>(F66-ROUND(J59/B59*100,0))-F67</f>
        <v>8631913482.3323364</v>
      </c>
    </row>
    <row r="69" spans="1:17">
      <c r="A69" s="154" t="s">
        <v>12</v>
      </c>
      <c r="B69" s="48"/>
      <c r="C69" s="48"/>
      <c r="D69" s="43"/>
      <c r="E69" s="173"/>
      <c r="F69" s="43"/>
    </row>
    <row r="70" spans="1:17">
      <c r="A70" s="47"/>
      <c r="B70" s="48"/>
      <c r="C70" s="48"/>
      <c r="D70" s="43"/>
      <c r="E70" s="173"/>
      <c r="F70" s="463">
        <f>(G83+H83)/B83*100</f>
        <v>160953422336.03424</v>
      </c>
      <c r="G70" s="13"/>
      <c r="H70" s="463">
        <f>F70-J70</f>
        <v>144688437280.23236</v>
      </c>
      <c r="I70" s="13"/>
      <c r="J70" s="463">
        <f>J83/B83*100</f>
        <v>16264985055.801865</v>
      </c>
    </row>
    <row r="71" spans="1:17">
      <c r="A71" s="49" t="s">
        <v>15</v>
      </c>
      <c r="B71" s="48"/>
      <c r="C71" s="48"/>
      <c r="D71" s="43"/>
      <c r="E71" s="173"/>
      <c r="F71" s="43"/>
    </row>
    <row r="72" spans="1:17">
      <c r="A72" s="322" t="s">
        <v>61</v>
      </c>
      <c r="B72" s="48">
        <v>0.45989999999999998</v>
      </c>
      <c r="C72" s="48">
        <v>0</v>
      </c>
      <c r="D72" s="43">
        <v>860904</v>
      </c>
      <c r="E72" s="173"/>
      <c r="F72" s="43">
        <v>169110064313</v>
      </c>
      <c r="G72" s="53">
        <v>3579205.57</v>
      </c>
      <c r="H72" s="53">
        <v>736275445.21000004</v>
      </c>
      <c r="I72" s="53">
        <v>0</v>
      </c>
      <c r="J72" s="53">
        <v>74761243.439999998</v>
      </c>
      <c r="K72" s="53">
        <v>0</v>
      </c>
      <c r="L72" s="53">
        <f>G72+H72+I72-J72+K72</f>
        <v>665093407.34000015</v>
      </c>
      <c r="M72" s="53">
        <v>147018486.88</v>
      </c>
      <c r="N72" s="53">
        <f>L72-M72</f>
        <v>518074920.46000016</v>
      </c>
      <c r="O72" s="53">
        <v>0</v>
      </c>
      <c r="P72" s="53">
        <v>0</v>
      </c>
      <c r="Q72" s="53">
        <f>N72-O72-P72</f>
        <v>518074920.46000016</v>
      </c>
    </row>
    <row r="73" spans="1:17">
      <c r="A73" s="16" t="s">
        <v>433</v>
      </c>
      <c r="B73" s="48">
        <v>1.9199999999999998E-2</v>
      </c>
      <c r="C73" s="48"/>
      <c r="D73" s="43">
        <v>860904</v>
      </c>
      <c r="E73" s="173"/>
      <c r="F73" s="43">
        <v>169110064313</v>
      </c>
      <c r="G73" s="53">
        <v>149425.41</v>
      </c>
      <c r="H73" s="53">
        <v>30738178.93</v>
      </c>
      <c r="I73" s="53">
        <v>0</v>
      </c>
      <c r="J73" s="53">
        <v>3121151.2199999997</v>
      </c>
      <c r="K73" s="53">
        <v>0</v>
      </c>
      <c r="L73" s="53">
        <f t="shared" ref="L73:L78" si="48">G73+H73+I73-J73+K73</f>
        <v>27766453.120000001</v>
      </c>
      <c r="M73" s="53">
        <v>6137758.8100000005</v>
      </c>
      <c r="N73" s="53">
        <f t="shared" ref="N73:N78" si="49">L73-M73</f>
        <v>21628694.310000002</v>
      </c>
      <c r="O73" s="53">
        <v>0</v>
      </c>
      <c r="P73" s="53">
        <v>0</v>
      </c>
      <c r="Q73" s="53">
        <f t="shared" ref="Q73:Q78" si="50">N73-O73-P73</f>
        <v>21628694.310000002</v>
      </c>
    </row>
    <row r="74" spans="1:17">
      <c r="A74" s="16" t="s">
        <v>434</v>
      </c>
      <c r="B74" s="48">
        <v>0.01</v>
      </c>
      <c r="C74" s="48"/>
      <c r="D74" s="43">
        <v>860904</v>
      </c>
      <c r="E74" s="173"/>
      <c r="F74" s="43">
        <v>169110064313</v>
      </c>
      <c r="G74" s="53">
        <v>77825.740000000005</v>
      </c>
      <c r="H74" s="53">
        <v>16009468.359999999</v>
      </c>
      <c r="I74" s="53">
        <v>0</v>
      </c>
      <c r="J74" s="53">
        <v>1625578.64</v>
      </c>
      <c r="K74" s="53">
        <v>0</v>
      </c>
      <c r="L74" s="53">
        <f t="shared" si="48"/>
        <v>14461715.459999999</v>
      </c>
      <c r="M74" s="53">
        <v>3196761.38</v>
      </c>
      <c r="N74" s="53">
        <f t="shared" si="49"/>
        <v>11264954.079999998</v>
      </c>
      <c r="O74" s="53">
        <v>0</v>
      </c>
      <c r="P74" s="53">
        <v>0</v>
      </c>
      <c r="Q74" s="53">
        <f t="shared" si="50"/>
        <v>11264954.079999998</v>
      </c>
    </row>
    <row r="75" spans="1:17">
      <c r="A75" s="16" t="s">
        <v>435</v>
      </c>
      <c r="B75" s="48">
        <v>0.05</v>
      </c>
      <c r="C75" s="48"/>
      <c r="D75" s="43">
        <v>860904</v>
      </c>
      <c r="E75" s="173"/>
      <c r="F75" s="43">
        <v>169110064313</v>
      </c>
      <c r="G75" s="53">
        <v>389128.68</v>
      </c>
      <c r="H75" s="53">
        <v>80047341.349999994</v>
      </c>
      <c r="I75" s="53">
        <v>0</v>
      </c>
      <c r="J75" s="53">
        <v>8127994.0499999998</v>
      </c>
      <c r="K75" s="53">
        <v>0</v>
      </c>
      <c r="L75" s="53">
        <f t="shared" si="48"/>
        <v>72308475.980000004</v>
      </c>
      <c r="M75" s="53">
        <v>15983754.120000001</v>
      </c>
      <c r="N75" s="53">
        <f t="shared" si="49"/>
        <v>56324721.859999999</v>
      </c>
      <c r="O75" s="53">
        <v>0</v>
      </c>
      <c r="P75" s="53">
        <v>0</v>
      </c>
      <c r="Q75" s="53">
        <f t="shared" si="50"/>
        <v>56324721.859999999</v>
      </c>
    </row>
    <row r="76" spans="1:17">
      <c r="A76" s="16" t="s">
        <v>436</v>
      </c>
      <c r="B76" s="48">
        <v>0.1</v>
      </c>
      <c r="C76" s="48"/>
      <c r="D76" s="43">
        <v>860904</v>
      </c>
      <c r="E76" s="173"/>
      <c r="F76" s="43">
        <v>169110064313</v>
      </c>
      <c r="G76" s="53">
        <v>778257.35</v>
      </c>
      <c r="H76" s="53">
        <v>160094682.66</v>
      </c>
      <c r="I76" s="53">
        <v>0</v>
      </c>
      <c r="J76" s="53">
        <v>16255984.560000001</v>
      </c>
      <c r="K76" s="53">
        <v>0</v>
      </c>
      <c r="L76" s="53">
        <f t="shared" si="48"/>
        <v>144616955.44999999</v>
      </c>
      <c r="M76" s="53">
        <v>31967486.09</v>
      </c>
      <c r="N76" s="53">
        <f t="shared" si="49"/>
        <v>112649469.35999998</v>
      </c>
      <c r="O76" s="53">
        <v>0</v>
      </c>
      <c r="P76" s="53">
        <v>0</v>
      </c>
      <c r="Q76" s="53">
        <f t="shared" si="50"/>
        <v>112649469.35999998</v>
      </c>
    </row>
    <row r="77" spans="1:17">
      <c r="A77" s="16" t="s">
        <v>437</v>
      </c>
      <c r="B77" s="48"/>
      <c r="C77" s="48"/>
      <c r="D77" s="43">
        <v>860904</v>
      </c>
      <c r="E77" s="173"/>
      <c r="F77" s="43">
        <v>169110064313</v>
      </c>
      <c r="G77" s="53">
        <v>4019.69</v>
      </c>
      <c r="H77" s="53">
        <v>522415.51999999996</v>
      </c>
      <c r="I77" s="53">
        <v>0</v>
      </c>
      <c r="J77" s="53">
        <v>58902.840000000004</v>
      </c>
      <c r="K77" s="53">
        <v>0</v>
      </c>
      <c r="L77" s="53">
        <f t="shared" si="48"/>
        <v>467532.36999999994</v>
      </c>
      <c r="M77" s="53">
        <v>0</v>
      </c>
      <c r="N77" s="53">
        <f t="shared" si="49"/>
        <v>467532.36999999994</v>
      </c>
      <c r="O77" s="53">
        <v>0</v>
      </c>
      <c r="P77" s="53">
        <v>0</v>
      </c>
      <c r="Q77" s="53">
        <f t="shared" si="50"/>
        <v>467532.36999999994</v>
      </c>
    </row>
    <row r="78" spans="1:17">
      <c r="A78" s="16" t="s">
        <v>438</v>
      </c>
      <c r="B78" s="48">
        <v>1.4999999999999999E-2</v>
      </c>
      <c r="C78" s="48"/>
      <c r="D78" s="43">
        <v>860904</v>
      </c>
      <c r="E78" s="173"/>
      <c r="F78" s="43">
        <v>169110064313</v>
      </c>
      <c r="G78" s="53">
        <v>116738.6</v>
      </c>
      <c r="H78" s="53">
        <v>24014202.43</v>
      </c>
      <c r="I78" s="53">
        <v>0</v>
      </c>
      <c r="J78" s="53">
        <v>2438412.5</v>
      </c>
      <c r="K78" s="53">
        <v>0</v>
      </c>
      <c r="L78" s="53">
        <f t="shared" si="48"/>
        <v>21692528.530000001</v>
      </c>
      <c r="M78" s="53">
        <v>4795134.8100000005</v>
      </c>
      <c r="N78" s="53">
        <f t="shared" si="49"/>
        <v>16897393.719999999</v>
      </c>
      <c r="O78" s="53">
        <v>0</v>
      </c>
      <c r="P78" s="53">
        <v>0</v>
      </c>
      <c r="Q78" s="53">
        <f t="shared" si="50"/>
        <v>16897393.719999999</v>
      </c>
    </row>
    <row r="79" spans="1:17">
      <c r="A79" s="47"/>
      <c r="B79" s="48"/>
      <c r="C79" s="48"/>
      <c r="D79" s="43"/>
      <c r="E79" s="173"/>
      <c r="F79" s="43"/>
    </row>
    <row r="80" spans="1:17">
      <c r="A80" s="47"/>
      <c r="B80" s="48"/>
      <c r="C80" s="48"/>
      <c r="D80" s="43"/>
      <c r="E80" s="173"/>
      <c r="F80" s="43"/>
    </row>
    <row r="81" spans="1:17">
      <c r="A81" s="47"/>
      <c r="B81" s="48"/>
      <c r="C81" s="48"/>
      <c r="D81" s="43"/>
      <c r="E81" s="173"/>
      <c r="F81" s="43"/>
    </row>
    <row r="82" spans="1:17" s="50" customFormat="1">
      <c r="A82" s="71"/>
      <c r="B82" s="51"/>
      <c r="C82" s="51"/>
      <c r="D82" s="52"/>
      <c r="E82" s="65">
        <v>2700000000</v>
      </c>
      <c r="F82" s="52"/>
      <c r="G82" s="59"/>
      <c r="H82" s="59"/>
      <c r="I82" s="59"/>
      <c r="J82" s="181"/>
      <c r="K82" s="59"/>
      <c r="L82" s="59"/>
      <c r="M82" s="59"/>
      <c r="N82" s="59"/>
      <c r="O82" s="59"/>
      <c r="P82" s="59"/>
      <c r="Q82" s="59"/>
    </row>
    <row r="83" spans="1:17">
      <c r="A83" s="71" t="s">
        <v>26</v>
      </c>
      <c r="B83" s="48">
        <f>SUM(B72:B82)</f>
        <v>0.65410000000000001</v>
      </c>
      <c r="C83" s="48">
        <f>-SUM(C72:C82)</f>
        <v>0</v>
      </c>
      <c r="D83" s="72">
        <f>D72</f>
        <v>860904</v>
      </c>
      <c r="E83" s="208">
        <f>G83/B83*100</f>
        <v>778871891.14814258</v>
      </c>
      <c r="F83" s="72">
        <f>F72</f>
        <v>169110064313</v>
      </c>
      <c r="G83" s="73">
        <f>SUM(G72:G82)</f>
        <v>5094601.04</v>
      </c>
      <c r="H83" s="73">
        <f>SUM(H72:H82)</f>
        <v>1047701734.4599999</v>
      </c>
      <c r="I83" s="73">
        <f t="shared" ref="I83:P83" si="51">SUM(I72:I82)</f>
        <v>0</v>
      </c>
      <c r="J83" s="73">
        <f>SUM(J72:J81)</f>
        <v>106389267.25</v>
      </c>
      <c r="K83" s="73">
        <f t="shared" si="51"/>
        <v>0</v>
      </c>
      <c r="L83" s="73">
        <f t="shared" si="51"/>
        <v>946407068.25000012</v>
      </c>
      <c r="M83" s="73">
        <f t="shared" si="51"/>
        <v>209099382.09</v>
      </c>
      <c r="N83" s="73">
        <f t="shared" si="51"/>
        <v>737307686.16000032</v>
      </c>
      <c r="O83" s="73">
        <f t="shared" si="51"/>
        <v>0</v>
      </c>
      <c r="P83" s="73">
        <f t="shared" si="51"/>
        <v>0</v>
      </c>
      <c r="Q83" s="73">
        <f>N83-O83-P83</f>
        <v>737307686.16000032</v>
      </c>
    </row>
    <row r="84" spans="1:17" ht="21" customHeight="1">
      <c r="A84" s="47" t="s">
        <v>16</v>
      </c>
      <c r="B84" s="48">
        <f>B$83</f>
        <v>0.65410000000000001</v>
      </c>
      <c r="C84" s="48">
        <f>C$83</f>
        <v>0</v>
      </c>
      <c r="D84" s="43"/>
      <c r="E84" s="173"/>
      <c r="F84" s="65">
        <f>IF(E82&gt;E83,E82-E83,0)</f>
        <v>1921128108.8518574</v>
      </c>
      <c r="G84" s="53">
        <f>F84*(B84-C84)/100</f>
        <v>12566098.960000001</v>
      </c>
      <c r="I84" s="53">
        <f>F84*C84/100</f>
        <v>0</v>
      </c>
      <c r="J84" s="53">
        <v>0</v>
      </c>
      <c r="K84" s="53">
        <v>0</v>
      </c>
      <c r="L84" s="53">
        <f>G84+H84+I84-J84+K84</f>
        <v>12566098.960000001</v>
      </c>
      <c r="M84" s="53">
        <v>0</v>
      </c>
      <c r="N84" s="53">
        <f>L84-M84</f>
        <v>12566098.960000001</v>
      </c>
      <c r="O84" s="53">
        <v>0</v>
      </c>
      <c r="P84" s="53">
        <v>0</v>
      </c>
      <c r="Q84" s="53">
        <f>N84-O84-P84</f>
        <v>12566098.960000001</v>
      </c>
    </row>
    <row r="85" spans="1:17" ht="12.75" customHeight="1">
      <c r="A85" s="47" t="s">
        <v>17</v>
      </c>
      <c r="B85" s="48">
        <f t="shared" ref="B85:C88" si="52">B$83</f>
        <v>0.65410000000000001</v>
      </c>
      <c r="C85" s="48">
        <f t="shared" si="52"/>
        <v>0</v>
      </c>
      <c r="D85" s="43"/>
      <c r="E85" s="173"/>
      <c r="F85" s="66">
        <v>7000000000</v>
      </c>
      <c r="H85" s="53">
        <f>F85*(B85-C85)/100</f>
        <v>45787000</v>
      </c>
      <c r="I85" s="53">
        <f>F85*C85/100</f>
        <v>0</v>
      </c>
      <c r="J85" s="53">
        <v>0</v>
      </c>
      <c r="K85" s="53">
        <v>0</v>
      </c>
      <c r="L85" s="53">
        <f>G85+H85+I85-J85+K85</f>
        <v>45787000</v>
      </c>
      <c r="M85" s="53">
        <v>0</v>
      </c>
      <c r="N85" s="53">
        <f>L85-M85</f>
        <v>45787000</v>
      </c>
      <c r="O85" s="53">
        <v>0</v>
      </c>
      <c r="P85" s="53">
        <v>0</v>
      </c>
      <c r="Q85" s="53">
        <f>N85-O85-P85</f>
        <v>45787000</v>
      </c>
    </row>
    <row r="86" spans="1:17">
      <c r="A86" s="47" t="s">
        <v>18</v>
      </c>
      <c r="B86" s="48"/>
      <c r="C86" s="48"/>
      <c r="D86" s="43"/>
      <c r="E86" s="173"/>
      <c r="F86" s="43"/>
    </row>
    <row r="87" spans="1:17">
      <c r="A87" s="67" t="s">
        <v>19</v>
      </c>
      <c r="B87" s="48">
        <f t="shared" si="52"/>
        <v>0.65410000000000001</v>
      </c>
      <c r="C87" s="48">
        <f t="shared" si="52"/>
        <v>0</v>
      </c>
      <c r="D87" s="43"/>
      <c r="E87" s="173"/>
      <c r="F87" s="43">
        <v>3033950561.1500001</v>
      </c>
      <c r="G87" s="53">
        <v>7004661.6699999999</v>
      </c>
      <c r="H87" s="53">
        <v>13995729.48</v>
      </c>
      <c r="I87" s="53">
        <v>0</v>
      </c>
      <c r="J87" s="53">
        <v>1155320.8600000001</v>
      </c>
      <c r="K87" s="53">
        <v>0</v>
      </c>
      <c r="L87" s="53">
        <f>G87+H87+I87-J87+K87</f>
        <v>19845070.289999999</v>
      </c>
      <c r="M87" s="53">
        <v>661046.66</v>
      </c>
      <c r="N87" s="53">
        <f>L87-M87</f>
        <v>19184023.629999999</v>
      </c>
      <c r="O87" s="53">
        <v>552105.78</v>
      </c>
      <c r="P87" s="53">
        <v>281333.56</v>
      </c>
      <c r="Q87" s="53">
        <f>N87-O87-P87</f>
        <v>18350584.289999999</v>
      </c>
    </row>
    <row r="88" spans="1:17">
      <c r="A88" s="67" t="s">
        <v>20</v>
      </c>
      <c r="B88" s="48">
        <f t="shared" si="52"/>
        <v>0.65410000000000001</v>
      </c>
      <c r="C88" s="48">
        <f t="shared" si="52"/>
        <v>0</v>
      </c>
      <c r="D88" s="43"/>
      <c r="E88" s="173"/>
      <c r="F88" s="43">
        <v>103235731.3</v>
      </c>
      <c r="G88" s="53">
        <v>650900.16</v>
      </c>
      <c r="H88" s="53">
        <v>24363.09</v>
      </c>
      <c r="I88" s="53">
        <v>0</v>
      </c>
      <c r="J88" s="53">
        <v>0</v>
      </c>
      <c r="K88" s="53">
        <v>0</v>
      </c>
      <c r="L88" s="53">
        <f>G88+H88+I88-J88+K88</f>
        <v>675263.25</v>
      </c>
      <c r="M88" s="53">
        <v>3.87</v>
      </c>
      <c r="N88" s="53">
        <f>L88-M88</f>
        <v>675259.38</v>
      </c>
      <c r="O88" s="53">
        <v>10720.6</v>
      </c>
      <c r="P88" s="53">
        <v>3226.03</v>
      </c>
      <c r="Q88" s="53">
        <f>N88-O88-P88</f>
        <v>661312.75</v>
      </c>
    </row>
    <row r="89" spans="1:17">
      <c r="A89" s="47"/>
      <c r="B89" s="48"/>
      <c r="C89" s="48"/>
      <c r="D89" s="43"/>
      <c r="E89" s="173"/>
      <c r="F89" s="43"/>
    </row>
    <row r="90" spans="1:17" s="50" customFormat="1" ht="13.5" thickBot="1">
      <c r="A90" s="57" t="str">
        <f>"TOTAL "&amp; A83</f>
        <v>TOTAL GENERAL TOTAL</v>
      </c>
      <c r="B90" s="68">
        <f>B83</f>
        <v>0.65410000000000001</v>
      </c>
      <c r="C90" s="68">
        <f>C83</f>
        <v>0</v>
      </c>
      <c r="D90" s="69">
        <f t="shared" ref="D90:Q90" si="53">SUM(D83:D85,D87:D88)</f>
        <v>860904</v>
      </c>
      <c r="E90" s="204"/>
      <c r="F90" s="69">
        <f>SUM(F83:F85,F87:F88)</f>
        <v>181168378714.30185</v>
      </c>
      <c r="G90" s="70">
        <f t="shared" si="53"/>
        <v>25316261.830000002</v>
      </c>
      <c r="H90" s="70">
        <f t="shared" si="53"/>
        <v>1107508827.03</v>
      </c>
      <c r="I90" s="70">
        <f t="shared" si="53"/>
        <v>0</v>
      </c>
      <c r="J90" s="70">
        <f t="shared" si="53"/>
        <v>107544588.11</v>
      </c>
      <c r="K90" s="70">
        <f t="shared" si="53"/>
        <v>0</v>
      </c>
      <c r="L90" s="70">
        <f t="shared" si="53"/>
        <v>1025280500.7500001</v>
      </c>
      <c r="M90" s="70">
        <f t="shared" si="53"/>
        <v>209760432.62</v>
      </c>
      <c r="N90" s="70">
        <f t="shared" si="53"/>
        <v>815520068.13000035</v>
      </c>
      <c r="O90" s="70">
        <f t="shared" si="53"/>
        <v>562826.38</v>
      </c>
      <c r="P90" s="70">
        <f t="shared" si="53"/>
        <v>284559.59000000003</v>
      </c>
      <c r="Q90" s="70">
        <f t="shared" si="53"/>
        <v>814672682.16000032</v>
      </c>
    </row>
    <row r="91" spans="1:17" s="168" customFormat="1">
      <c r="A91" s="165" t="s">
        <v>28</v>
      </c>
      <c r="B91" s="166"/>
      <c r="C91" s="166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</row>
    <row r="92" spans="1:17" s="168" customFormat="1">
      <c r="A92" s="200" t="s">
        <v>29</v>
      </c>
      <c r="B92" s="166"/>
      <c r="C92" s="166"/>
      <c r="D92" s="167"/>
      <c r="E92" s="167"/>
      <c r="F92" s="167">
        <v>1002096167</v>
      </c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</row>
    <row r="93" spans="1:17" s="168" customFormat="1">
      <c r="A93" s="200" t="s">
        <v>15</v>
      </c>
      <c r="B93" s="166"/>
      <c r="C93" s="166"/>
      <c r="D93" s="167"/>
      <c r="E93" s="167" t="s">
        <v>372</v>
      </c>
      <c r="F93" s="169">
        <v>143372650290</v>
      </c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</row>
    <row r="94" spans="1:17" s="168" customFormat="1">
      <c r="A94" s="200"/>
      <c r="B94" s="166"/>
      <c r="C94" s="166"/>
      <c r="D94" s="167"/>
      <c r="E94" s="167"/>
      <c r="F94" s="167">
        <f>F92+F93</f>
        <v>144374746457</v>
      </c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</row>
    <row r="95" spans="1:17" s="168" customFormat="1">
      <c r="A95" s="200" t="s">
        <v>30</v>
      </c>
      <c r="B95" s="166"/>
      <c r="C95" s="166"/>
      <c r="D95" s="167"/>
      <c r="E95" s="167">
        <f>F95-E94</f>
        <v>24735317856</v>
      </c>
      <c r="F95" s="74">
        <f>F83-J82-F94</f>
        <v>24735317856</v>
      </c>
      <c r="G95" s="170">
        <f>F95/F94</f>
        <v>0.17132717779952653</v>
      </c>
      <c r="H95" s="167"/>
      <c r="I95" s="167"/>
      <c r="J95" s="167"/>
      <c r="K95" s="167"/>
      <c r="L95" s="167"/>
      <c r="M95" s="167"/>
      <c r="N95" s="167"/>
      <c r="O95" s="167"/>
      <c r="P95" s="167"/>
      <c r="Q95" s="167"/>
    </row>
    <row r="96" spans="1:17" s="174" customFormat="1">
      <c r="A96" s="171"/>
      <c r="B96" s="172"/>
      <c r="C96" s="172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1:20" s="174" customFormat="1">
      <c r="A97" s="75" t="s">
        <v>355</v>
      </c>
      <c r="B97" s="172"/>
      <c r="C97" s="172"/>
      <c r="D97" s="173"/>
      <c r="E97" s="173"/>
      <c r="F97" s="175">
        <v>156209861253</v>
      </c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1:20" s="174" customFormat="1">
      <c r="A98" s="76" t="s">
        <v>30</v>
      </c>
      <c r="B98" s="172"/>
      <c r="C98" s="172"/>
      <c r="D98" s="173"/>
      <c r="E98" s="173"/>
      <c r="F98" s="77">
        <f>(F90-ROUND(J83/B83*100,0))-F97</f>
        <v>8693532405.3018494</v>
      </c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1:20">
      <c r="A99" s="47"/>
      <c r="B99" s="48"/>
      <c r="C99" s="48"/>
      <c r="D99" s="43"/>
      <c r="E99" s="173"/>
      <c r="F99" s="43"/>
    </row>
    <row r="100" spans="1:20">
      <c r="A100" s="54" t="s">
        <v>13</v>
      </c>
      <c r="B100" s="51"/>
      <c r="C100" s="51"/>
      <c r="D100" s="52"/>
      <c r="E100" s="203"/>
      <c r="F100" s="52"/>
    </row>
    <row r="101" spans="1:20">
      <c r="A101" s="47"/>
      <c r="B101" s="48"/>
      <c r="C101" s="48"/>
      <c r="D101" s="43"/>
      <c r="E101" s="65">
        <v>2700000000</v>
      </c>
      <c r="F101" s="43"/>
    </row>
    <row r="102" spans="1:20">
      <c r="A102" s="49" t="s">
        <v>15</v>
      </c>
      <c r="B102" s="48">
        <v>0.75</v>
      </c>
      <c r="C102" s="48"/>
      <c r="D102" s="43">
        <v>860904</v>
      </c>
      <c r="E102" s="173">
        <f>G102/B102*100</f>
        <v>778257353.33333337</v>
      </c>
      <c r="F102" s="43">
        <v>169110064313</v>
      </c>
      <c r="G102" s="53">
        <v>5836930.1500000004</v>
      </c>
      <c r="H102" s="53">
        <v>1200710119.02</v>
      </c>
      <c r="I102" s="53">
        <v>0</v>
      </c>
      <c r="J102" s="53">
        <v>117953179.74000001</v>
      </c>
      <c r="K102" s="53">
        <v>0</v>
      </c>
      <c r="L102" s="53">
        <f t="shared" ref="L102:L107" si="54">G102+H102+I102-J102+K102</f>
        <v>1088593869.4300001</v>
      </c>
      <c r="M102" s="53">
        <v>239756132.60000002</v>
      </c>
      <c r="N102" s="53">
        <f>L102-M102</f>
        <v>848837736.83000004</v>
      </c>
      <c r="O102" s="53">
        <v>0</v>
      </c>
      <c r="P102" s="53">
        <v>0</v>
      </c>
      <c r="Q102" s="53">
        <f>N102-O102-P102</f>
        <v>848837736.83000004</v>
      </c>
      <c r="S102" s="53"/>
      <c r="T102" s="53"/>
    </row>
    <row r="103" spans="1:20">
      <c r="A103" s="47" t="s">
        <v>16</v>
      </c>
      <c r="B103" s="48">
        <f>B$102</f>
        <v>0.75</v>
      </c>
      <c r="C103" s="48">
        <f>C$102</f>
        <v>0</v>
      </c>
      <c r="D103" s="43"/>
      <c r="E103" s="173"/>
      <c r="F103" s="329">
        <f>IF(E101&gt;E102,E101-E102,0)</f>
        <v>1921742646.6666665</v>
      </c>
      <c r="G103" s="18">
        <f>F103*(B103-C103)/100</f>
        <v>14413069.85</v>
      </c>
      <c r="I103" s="53">
        <f>F103*C103/100</f>
        <v>0</v>
      </c>
      <c r="L103" s="53">
        <f t="shared" si="54"/>
        <v>14413069.85</v>
      </c>
      <c r="N103" s="53">
        <f>L103-M103</f>
        <v>14413069.85</v>
      </c>
      <c r="Q103" s="53">
        <f>N103-O103-P103</f>
        <v>14413069.85</v>
      </c>
    </row>
    <row r="104" spans="1:20">
      <c r="A104" s="47" t="s">
        <v>17</v>
      </c>
      <c r="B104" s="48">
        <f t="shared" ref="B104:C107" si="55">B$102</f>
        <v>0.75</v>
      </c>
      <c r="C104" s="48">
        <f t="shared" si="55"/>
        <v>0</v>
      </c>
      <c r="D104" s="43"/>
      <c r="E104" s="173"/>
      <c r="F104" s="66">
        <v>7000000000</v>
      </c>
      <c r="H104" s="18">
        <f>F104*(B104-C104)/100</f>
        <v>52500000</v>
      </c>
      <c r="I104" s="53">
        <f>F104*C104/100</f>
        <v>0</v>
      </c>
      <c r="J104" s="53">
        <v>0</v>
      </c>
      <c r="K104" s="53">
        <v>0</v>
      </c>
      <c r="L104" s="53">
        <f t="shared" si="54"/>
        <v>52500000</v>
      </c>
      <c r="M104" s="53">
        <v>0</v>
      </c>
      <c r="N104" s="53">
        <f>L104-M104</f>
        <v>52500000</v>
      </c>
      <c r="O104" s="53">
        <v>0</v>
      </c>
      <c r="P104" s="53">
        <v>0</v>
      </c>
      <c r="Q104" s="53">
        <f>N104-O104-P104</f>
        <v>52500000</v>
      </c>
    </row>
    <row r="105" spans="1:20">
      <c r="A105" s="47" t="s">
        <v>18</v>
      </c>
      <c r="B105" s="48"/>
      <c r="C105" s="48"/>
      <c r="D105" s="43"/>
      <c r="E105" s="173"/>
      <c r="F105" s="43"/>
    </row>
    <row r="106" spans="1:20">
      <c r="A106" s="67" t="s">
        <v>19</v>
      </c>
      <c r="B106" s="48">
        <f t="shared" si="55"/>
        <v>0.75</v>
      </c>
      <c r="C106" s="48">
        <f t="shared" si="55"/>
        <v>0</v>
      </c>
      <c r="D106" s="43"/>
      <c r="E106" s="173"/>
      <c r="F106" s="43">
        <v>3033950561.1500001</v>
      </c>
      <c r="G106" s="53">
        <f>13957921.45*S109</f>
        <v>8031641.1596593522</v>
      </c>
      <c r="H106" s="53">
        <f>27888753.97*S109</f>
        <v>16047694.857679915</v>
      </c>
      <c r="I106" s="53">
        <v>0</v>
      </c>
      <c r="J106" s="53">
        <f>2302163.73*S109</f>
        <v>1324706.7649992327</v>
      </c>
      <c r="K106" s="53">
        <v>0</v>
      </c>
      <c r="L106" s="53">
        <f t="shared" si="54"/>
        <v>22754629.252340034</v>
      </c>
      <c r="M106" s="53">
        <f>1317242.38*S109</f>
        <v>757965.15651373332</v>
      </c>
      <c r="N106" s="53">
        <f>L106-M106</f>
        <v>21996664.095826302</v>
      </c>
      <c r="O106" s="53">
        <f>633051.97*S109</f>
        <v>364269.58531532914</v>
      </c>
      <c r="P106" s="53">
        <f>560602.68*S109</f>
        <v>322580.94982353848</v>
      </c>
      <c r="Q106" s="53">
        <f>N106-O106-P106</f>
        <v>21309813.560687434</v>
      </c>
      <c r="S106" s="381">
        <f>Q107-G107</f>
        <v>17159.371643394232</v>
      </c>
    </row>
    <row r="107" spans="1:20">
      <c r="A107" s="67" t="s">
        <v>20</v>
      </c>
      <c r="B107" s="48">
        <f t="shared" si="55"/>
        <v>0.75</v>
      </c>
      <c r="C107" s="48">
        <f t="shared" si="55"/>
        <v>0</v>
      </c>
      <c r="D107" s="43"/>
      <c r="E107" s="173"/>
      <c r="F107" s="43">
        <v>103235731.3</v>
      </c>
      <c r="G107" s="53">
        <f>1297024.14*S109</f>
        <v>746331.2145158815</v>
      </c>
      <c r="H107" s="53">
        <f>48548.67*S109</f>
        <v>27935.785253951206</v>
      </c>
      <c r="I107" s="53">
        <v>0</v>
      </c>
      <c r="J107" s="53">
        <v>0</v>
      </c>
      <c r="K107" s="53">
        <v>0</v>
      </c>
      <c r="L107" s="53">
        <f t="shared" si="54"/>
        <v>774266.99976983271</v>
      </c>
      <c r="M107" s="53">
        <f>7.34*S109</f>
        <v>4.2235691268988802</v>
      </c>
      <c r="N107" s="53">
        <f>L107-M107</f>
        <v>774262.77620070579</v>
      </c>
      <c r="O107" s="53">
        <f>12292.24*S109</f>
        <v>7073.1778425655975</v>
      </c>
      <c r="P107" s="18">
        <f>6428.39*S109</f>
        <v>3699.0121988645087</v>
      </c>
      <c r="Q107" s="53">
        <f>N107-O107-P107</f>
        <v>763490.58615927573</v>
      </c>
      <c r="S107" s="381">
        <f>G107</f>
        <v>746331.2145158815</v>
      </c>
    </row>
    <row r="108" spans="1:20">
      <c r="A108" s="47"/>
      <c r="B108" s="48"/>
      <c r="C108" s="48"/>
      <c r="D108" s="43"/>
      <c r="E108" s="173"/>
      <c r="F108" s="43"/>
    </row>
    <row r="109" spans="1:20" s="50" customFormat="1">
      <c r="A109" s="57" t="str">
        <f>"TOTAL "&amp; A100</f>
        <v>TOTAL SCHOOL DISTRICT</v>
      </c>
      <c r="B109" s="51">
        <f>B$102</f>
        <v>0.75</v>
      </c>
      <c r="C109" s="51">
        <f>C$102</f>
        <v>0</v>
      </c>
      <c r="D109" s="78">
        <f t="shared" ref="D109:Q109" si="56">SUM(D102:D104,D106:D107)</f>
        <v>860904</v>
      </c>
      <c r="E109" s="206"/>
      <c r="F109" s="78">
        <f>SUM(F102:F104,F106:F107)</f>
        <v>181168993252.11664</v>
      </c>
      <c r="G109" s="79">
        <f t="shared" si="56"/>
        <v>29027972.374175232</v>
      </c>
      <c r="H109" s="79">
        <f t="shared" si="56"/>
        <v>1269285749.6629338</v>
      </c>
      <c r="I109" s="79">
        <f t="shared" si="56"/>
        <v>0</v>
      </c>
      <c r="J109" s="79">
        <f t="shared" si="56"/>
        <v>119277886.50499924</v>
      </c>
      <c r="K109" s="79">
        <f t="shared" si="56"/>
        <v>0</v>
      </c>
      <c r="L109" s="79">
        <f t="shared" si="56"/>
        <v>1179035835.53211</v>
      </c>
      <c r="M109" s="79">
        <f t="shared" si="56"/>
        <v>240514101.98008287</v>
      </c>
      <c r="N109" s="79">
        <f t="shared" si="56"/>
        <v>938521733.55202699</v>
      </c>
      <c r="O109" s="79">
        <f t="shared" si="56"/>
        <v>371342.76315789472</v>
      </c>
      <c r="P109" s="79">
        <f t="shared" si="56"/>
        <v>326279.96202240296</v>
      </c>
      <c r="Q109" s="79">
        <f t="shared" si="56"/>
        <v>937824110.82684672</v>
      </c>
      <c r="S109" s="183">
        <f>B109/B123</f>
        <v>0.57541813717968393</v>
      </c>
    </row>
    <row r="110" spans="1:20">
      <c r="A110" s="47"/>
      <c r="B110" s="48"/>
      <c r="C110" s="48"/>
      <c r="D110" s="43"/>
      <c r="E110" s="173"/>
      <c r="F110" s="43"/>
      <c r="L110" s="505" t="s">
        <v>388</v>
      </c>
      <c r="M110" s="506">
        <f>M109/L109</f>
        <v>0.20399218983156403</v>
      </c>
    </row>
    <row r="111" spans="1:20">
      <c r="A111" s="47"/>
      <c r="B111" s="48"/>
      <c r="C111" s="48"/>
      <c r="D111" s="43"/>
      <c r="E111" s="173"/>
      <c r="F111" s="43"/>
      <c r="G111" s="81">
        <f>G102+G114</f>
        <v>10700970.59</v>
      </c>
      <c r="H111" s="81">
        <f t="shared" ref="H111:Q111" si="57">H102+H114</f>
        <v>2131607373.0999999</v>
      </c>
      <c r="I111" s="81">
        <f t="shared" si="57"/>
        <v>0</v>
      </c>
      <c r="J111" s="81">
        <f t="shared" si="57"/>
        <v>211479108.25</v>
      </c>
      <c r="K111" s="81">
        <f t="shared" si="57"/>
        <v>0</v>
      </c>
      <c r="L111" s="81">
        <f t="shared" si="57"/>
        <v>1930829235.4400001</v>
      </c>
      <c r="M111" s="81">
        <f t="shared" si="57"/>
        <v>422848913.75</v>
      </c>
      <c r="N111" s="81">
        <f t="shared" si="57"/>
        <v>1507980321.6900001</v>
      </c>
      <c r="O111" s="81">
        <f t="shared" si="57"/>
        <v>0</v>
      </c>
      <c r="P111" s="81">
        <f t="shared" si="57"/>
        <v>0</v>
      </c>
      <c r="Q111" s="81">
        <f t="shared" si="57"/>
        <v>1507980321.6900001</v>
      </c>
    </row>
    <row r="112" spans="1:20">
      <c r="A112" s="154" t="s">
        <v>32</v>
      </c>
      <c r="B112" s="48"/>
      <c r="C112" s="48"/>
      <c r="D112" s="43"/>
      <c r="E112" s="173"/>
      <c r="F112" s="43"/>
      <c r="G112" s="81">
        <f>G106+G118</f>
        <v>13957921.449999999</v>
      </c>
      <c r="H112" s="81">
        <f t="shared" ref="H112:Q113" si="58">H106+H118</f>
        <v>27888753.969999999</v>
      </c>
      <c r="I112" s="81">
        <f t="shared" si="58"/>
        <v>0</v>
      </c>
      <c r="J112" s="81">
        <f t="shared" si="58"/>
        <v>2302163.73</v>
      </c>
      <c r="K112" s="81">
        <f t="shared" si="58"/>
        <v>0</v>
      </c>
      <c r="L112" s="81">
        <f t="shared" si="58"/>
        <v>39544511.689999998</v>
      </c>
      <c r="M112" s="81">
        <f t="shared" si="58"/>
        <v>1317242.3799999999</v>
      </c>
      <c r="N112" s="81">
        <f t="shared" si="58"/>
        <v>38227269.310000002</v>
      </c>
      <c r="O112" s="81">
        <f t="shared" si="58"/>
        <v>633051.97</v>
      </c>
      <c r="P112" s="81">
        <f t="shared" si="58"/>
        <v>560602.68000000005</v>
      </c>
      <c r="Q112" s="81">
        <f t="shared" si="58"/>
        <v>37033614.660000004</v>
      </c>
    </row>
    <row r="113" spans="1:21">
      <c r="A113" s="47"/>
      <c r="B113" s="48"/>
      <c r="C113" s="48"/>
      <c r="D113" s="43"/>
      <c r="E113" s="65">
        <v>2700000000</v>
      </c>
      <c r="F113" s="43"/>
      <c r="G113" s="81">
        <f>G107+G119</f>
        <v>1297024.1399999999</v>
      </c>
      <c r="H113" s="81">
        <f t="shared" si="58"/>
        <v>48548.67</v>
      </c>
      <c r="I113" s="81">
        <f t="shared" si="58"/>
        <v>0</v>
      </c>
      <c r="J113" s="81">
        <f t="shared" si="58"/>
        <v>0</v>
      </c>
      <c r="K113" s="81">
        <f t="shared" si="58"/>
        <v>0</v>
      </c>
      <c r="L113" s="81">
        <f t="shared" si="58"/>
        <v>1345572.81</v>
      </c>
      <c r="M113" s="81">
        <f t="shared" si="58"/>
        <v>7.34</v>
      </c>
      <c r="N113" s="81">
        <f t="shared" si="58"/>
        <v>1345565.47</v>
      </c>
      <c r="O113" s="81">
        <f t="shared" si="58"/>
        <v>12292.24</v>
      </c>
      <c r="P113" s="81">
        <f t="shared" si="58"/>
        <v>6428.3900000000012</v>
      </c>
      <c r="Q113" s="81">
        <f t="shared" si="58"/>
        <v>1326844.8399999999</v>
      </c>
    </row>
    <row r="114" spans="1:21">
      <c r="A114" s="49" t="s">
        <v>15</v>
      </c>
      <c r="B114" s="48">
        <v>0.5534</v>
      </c>
      <c r="C114" s="48"/>
      <c r="D114" s="43">
        <v>860904</v>
      </c>
      <c r="E114" s="173">
        <f>G114/B114*100</f>
        <v>878937556.92085302</v>
      </c>
      <c r="F114" s="43">
        <v>169110064313</v>
      </c>
      <c r="G114" s="53">
        <v>4864040.4400000004</v>
      </c>
      <c r="H114" s="53">
        <v>930897254.07999992</v>
      </c>
      <c r="I114" s="53">
        <v>0</v>
      </c>
      <c r="J114" s="53">
        <v>93525928.510000005</v>
      </c>
      <c r="K114" s="53">
        <v>0</v>
      </c>
      <c r="L114" s="53">
        <f>G114+H114+I114-J114+K114</f>
        <v>842235366.00999999</v>
      </c>
      <c r="M114" s="53">
        <v>183092781.14999998</v>
      </c>
      <c r="N114" s="53">
        <f>L114-M114</f>
        <v>659142584.86000001</v>
      </c>
      <c r="O114" s="53">
        <v>0</v>
      </c>
      <c r="P114" s="53">
        <v>0</v>
      </c>
      <c r="Q114" s="53">
        <f>N114-O114-P114</f>
        <v>659142584.86000001</v>
      </c>
    </row>
    <row r="115" spans="1:21">
      <c r="A115" s="47" t="s">
        <v>16</v>
      </c>
      <c r="B115" s="48">
        <f>B114</f>
        <v>0.5534</v>
      </c>
      <c r="C115" s="48">
        <f>C114</f>
        <v>0</v>
      </c>
      <c r="D115" s="43"/>
      <c r="E115" s="173"/>
      <c r="F115" s="65">
        <f>IF(E113&gt;E114,E113-E114,0)</f>
        <v>1821062443.0791469</v>
      </c>
      <c r="G115" s="53">
        <f>F115*(B115-C115)/100</f>
        <v>10077759.559999999</v>
      </c>
      <c r="I115" s="53">
        <f>F115*C115/100</f>
        <v>0</v>
      </c>
      <c r="L115" s="53">
        <f>G115+H115+I115-J115+K115</f>
        <v>10077759.559999999</v>
      </c>
      <c r="N115" s="53">
        <f>L115-M115</f>
        <v>10077759.559999999</v>
      </c>
      <c r="Q115" s="53">
        <f>N115-O115-P115</f>
        <v>10077759.559999999</v>
      </c>
    </row>
    <row r="116" spans="1:21">
      <c r="A116" s="47" t="s">
        <v>17</v>
      </c>
      <c r="B116" s="48">
        <f>B115</f>
        <v>0.5534</v>
      </c>
      <c r="C116" s="48">
        <f>C115</f>
        <v>0</v>
      </c>
      <c r="D116" s="43"/>
      <c r="E116" s="173"/>
      <c r="F116" s="66">
        <v>7000000000</v>
      </c>
      <c r="H116" s="18">
        <f>F116*(B116-C116)/100</f>
        <v>38738000</v>
      </c>
      <c r="I116" s="53">
        <f>F116*C116/100</f>
        <v>0</v>
      </c>
      <c r="J116" s="53">
        <v>0</v>
      </c>
      <c r="K116" s="53">
        <v>0</v>
      </c>
      <c r="L116" s="53">
        <f>G116+H116+I116-J116+K116</f>
        <v>38738000</v>
      </c>
      <c r="M116" s="53">
        <v>0</v>
      </c>
      <c r="N116" s="53">
        <f>L116-M116</f>
        <v>38738000</v>
      </c>
      <c r="O116" s="53">
        <v>0</v>
      </c>
      <c r="P116" s="53">
        <v>0</v>
      </c>
      <c r="Q116" s="53">
        <f>N116-O116-P116</f>
        <v>38738000</v>
      </c>
    </row>
    <row r="117" spans="1:21">
      <c r="A117" s="47" t="s">
        <v>18</v>
      </c>
      <c r="B117" s="48"/>
      <c r="C117" s="48"/>
      <c r="D117" s="43"/>
      <c r="E117" s="173"/>
      <c r="F117" s="43"/>
    </row>
    <row r="118" spans="1:21">
      <c r="A118" s="67" t="s">
        <v>19</v>
      </c>
      <c r="B118" s="48">
        <v>0.5534</v>
      </c>
      <c r="C118" s="48">
        <f t="shared" ref="C118" si="59">C$102</f>
        <v>0</v>
      </c>
      <c r="D118" s="43"/>
      <c r="E118" s="173"/>
      <c r="F118" s="43">
        <v>3033950561.1500001</v>
      </c>
      <c r="G118" s="53">
        <f>13957921.45*S121</f>
        <v>5926280.290340648</v>
      </c>
      <c r="H118" s="53">
        <f>27888753.97*S121</f>
        <v>11841059.112320086</v>
      </c>
      <c r="I118" s="53">
        <v>0</v>
      </c>
      <c r="J118" s="53">
        <f>2302163.73*S121</f>
        <v>977456.96500076726</v>
      </c>
      <c r="K118" s="53">
        <v>0</v>
      </c>
      <c r="L118" s="53">
        <f t="shared" ref="L118:L119" si="60">G118+H118+I118-J118+K118</f>
        <v>16789882.437659968</v>
      </c>
      <c r="M118" s="53">
        <f>1317242.38*S121</f>
        <v>559277.22348626668</v>
      </c>
      <c r="N118" s="53">
        <f>L118-M118</f>
        <v>16230605.214173701</v>
      </c>
      <c r="O118" s="53">
        <f>633051.97*S121</f>
        <v>268782.38468467089</v>
      </c>
      <c r="P118" s="53">
        <f>560602.68*S121</f>
        <v>238021.7301764616</v>
      </c>
      <c r="Q118" s="53">
        <f>N118-O118-P118</f>
        <v>15723801.099312568</v>
      </c>
      <c r="S118" s="381">
        <f>+Q118+Q106</f>
        <v>37033614.660000004</v>
      </c>
    </row>
    <row r="119" spans="1:21">
      <c r="A119" s="67" t="s">
        <v>20</v>
      </c>
      <c r="B119" s="48">
        <f>B114</f>
        <v>0.5534</v>
      </c>
      <c r="C119" s="48">
        <f>C118</f>
        <v>0</v>
      </c>
      <c r="D119" s="43"/>
      <c r="E119" s="173"/>
      <c r="F119" s="43">
        <v>103235731.3</v>
      </c>
      <c r="G119" s="53">
        <f>1297024.14*S121</f>
        <v>550692.9254841184</v>
      </c>
      <c r="H119" s="53">
        <f>48548.67*S121</f>
        <v>20612.884746048796</v>
      </c>
      <c r="I119" s="53">
        <v>0</v>
      </c>
      <c r="J119" s="53">
        <v>0</v>
      </c>
      <c r="K119" s="53">
        <v>0</v>
      </c>
      <c r="L119" s="53">
        <f t="shared" si="60"/>
        <v>571305.81023016723</v>
      </c>
      <c r="M119" s="274">
        <f>7.34*S121</f>
        <v>3.1164308731011201</v>
      </c>
      <c r="N119" s="53">
        <f>L119-M119</f>
        <v>571302.69379929418</v>
      </c>
      <c r="O119" s="53">
        <f>12292.24*S121</f>
        <v>5219.0621574344023</v>
      </c>
      <c r="P119" s="53">
        <f>6428.39*S121</f>
        <v>2729.3778011354921</v>
      </c>
      <c r="Q119" s="53">
        <f>N119-O119-P119</f>
        <v>563354.25384072424</v>
      </c>
      <c r="U119" s="53"/>
    </row>
    <row r="120" spans="1:21">
      <c r="A120" s="47"/>
      <c r="B120" s="48"/>
      <c r="C120" s="48"/>
      <c r="D120" s="43"/>
      <c r="E120" s="173"/>
      <c r="F120" s="43"/>
    </row>
    <row r="121" spans="1:21" s="50" customFormat="1">
      <c r="A121" s="57" t="str">
        <f>"TOTAL "&amp; A112</f>
        <v>TOTAL SCHOOL DEBT</v>
      </c>
      <c r="B121" s="51">
        <f>B114</f>
        <v>0.5534</v>
      </c>
      <c r="C121" s="51">
        <f>C114</f>
        <v>0</v>
      </c>
      <c r="D121" s="78">
        <f t="shared" ref="D121:Q121" si="61">SUM(D114:D116,D118:D119)</f>
        <v>860904</v>
      </c>
      <c r="E121" s="206"/>
      <c r="F121" s="78">
        <f t="shared" si="61"/>
        <v>181068313048.52911</v>
      </c>
      <c r="G121" s="79">
        <f t="shared" si="61"/>
        <v>21418773.215824764</v>
      </c>
      <c r="H121" s="79">
        <f t="shared" si="61"/>
        <v>981496926.07706606</v>
      </c>
      <c r="I121" s="79">
        <f t="shared" si="61"/>
        <v>0</v>
      </c>
      <c r="J121" s="79">
        <f t="shared" si="61"/>
        <v>94503385.475000769</v>
      </c>
      <c r="K121" s="79">
        <f t="shared" si="61"/>
        <v>0</v>
      </c>
      <c r="L121" s="79">
        <f t="shared" si="61"/>
        <v>908412313.81789005</v>
      </c>
      <c r="M121" s="79">
        <f t="shared" si="61"/>
        <v>183652061.48991713</v>
      </c>
      <c r="N121" s="79">
        <f t="shared" si="61"/>
        <v>724760252.32797289</v>
      </c>
      <c r="O121" s="79">
        <f t="shared" si="61"/>
        <v>274001.4468421053</v>
      </c>
      <c r="P121" s="79">
        <f t="shared" si="61"/>
        <v>240751.1079775971</v>
      </c>
      <c r="Q121" s="79">
        <f t="shared" si="61"/>
        <v>724245499.77315319</v>
      </c>
      <c r="S121" s="183">
        <f>B121/B123</f>
        <v>0.42458186282031612</v>
      </c>
    </row>
    <row r="122" spans="1:21">
      <c r="A122" s="47"/>
      <c r="B122" s="48"/>
      <c r="C122" s="48"/>
      <c r="D122" s="43"/>
      <c r="E122" s="173"/>
      <c r="F122" s="43"/>
      <c r="S122" s="158"/>
    </row>
    <row r="123" spans="1:21" s="50" customFormat="1" ht="13.5" thickBot="1">
      <c r="A123" s="60" t="s">
        <v>34</v>
      </c>
      <c r="B123" s="68">
        <f>B109+B121</f>
        <v>1.3033999999999999</v>
      </c>
      <c r="C123" s="68">
        <f>C109+C121</f>
        <v>0</v>
      </c>
      <c r="D123" s="69">
        <f>D109</f>
        <v>860904</v>
      </c>
      <c r="E123" s="204"/>
      <c r="F123" s="69">
        <f>F109</f>
        <v>181168993252.11664</v>
      </c>
      <c r="G123" s="70">
        <f t="shared" ref="G123:Q123" si="62">G109+G121</f>
        <v>50446745.589999996</v>
      </c>
      <c r="H123" s="70">
        <f t="shared" si="62"/>
        <v>2250782675.7399998</v>
      </c>
      <c r="I123" s="70">
        <f t="shared" si="62"/>
        <v>0</v>
      </c>
      <c r="J123" s="70">
        <f t="shared" si="62"/>
        <v>213781271.98000002</v>
      </c>
      <c r="K123" s="70">
        <f t="shared" si="62"/>
        <v>0</v>
      </c>
      <c r="L123" s="70">
        <f t="shared" si="62"/>
        <v>2087448149.3499999</v>
      </c>
      <c r="M123" s="70">
        <f t="shared" si="62"/>
        <v>424166163.47000003</v>
      </c>
      <c r="N123" s="70">
        <f t="shared" si="62"/>
        <v>1663281985.8799999</v>
      </c>
      <c r="O123" s="70">
        <f t="shared" si="62"/>
        <v>645344.21</v>
      </c>
      <c r="P123" s="70">
        <f t="shared" si="62"/>
        <v>567031.07000000007</v>
      </c>
      <c r="Q123" s="70">
        <f t="shared" si="62"/>
        <v>1662069610.5999999</v>
      </c>
      <c r="S123" s="80"/>
    </row>
    <row r="124" spans="1:21">
      <c r="A124" s="150" t="s">
        <v>355</v>
      </c>
      <c r="B124" s="48"/>
      <c r="C124" s="48"/>
      <c r="D124" s="43"/>
      <c r="E124" s="173"/>
      <c r="F124" s="64">
        <v>156209861253</v>
      </c>
    </row>
    <row r="125" spans="1:21">
      <c r="A125" s="151" t="s">
        <v>30</v>
      </c>
      <c r="B125" s="51"/>
      <c r="C125" s="51"/>
      <c r="D125" s="52"/>
      <c r="E125" s="203"/>
      <c r="F125" s="152">
        <f>(F109-ROUND(J102/B102*100,0))-F124</f>
        <v>9232041367.1166382</v>
      </c>
    </row>
    <row r="126" spans="1:21">
      <c r="A126" s="54" t="s">
        <v>292</v>
      </c>
      <c r="B126" s="48"/>
      <c r="C126" s="48"/>
      <c r="D126" s="43"/>
      <c r="E126" s="173"/>
      <c r="F126" s="43"/>
    </row>
    <row r="127" spans="1:21">
      <c r="A127" s="50"/>
      <c r="B127" s="51"/>
      <c r="C127" s="51"/>
      <c r="D127" s="52"/>
      <c r="E127" s="65">
        <v>7000000</v>
      </c>
      <c r="F127" s="52"/>
    </row>
    <row r="128" spans="1:21">
      <c r="A128" s="49" t="s">
        <v>15</v>
      </c>
      <c r="B128" s="48">
        <v>0.26</v>
      </c>
      <c r="C128" s="48">
        <v>0</v>
      </c>
      <c r="D128" s="474">
        <v>7847</v>
      </c>
      <c r="E128" s="173">
        <f>G128/B128*100</f>
        <v>198361.53846153844</v>
      </c>
      <c r="F128" s="43">
        <v>1247026081</v>
      </c>
      <c r="G128" s="53">
        <v>515.74</v>
      </c>
      <c r="H128" s="53">
        <v>2801678.52</v>
      </c>
      <c r="I128" s="53">
        <v>0</v>
      </c>
      <c r="J128" s="53">
        <v>731094.66</v>
      </c>
      <c r="L128" s="53">
        <f>G128+H128+I128-J128+K128</f>
        <v>2071099.6</v>
      </c>
      <c r="M128" s="481">
        <v>779151.22</v>
      </c>
      <c r="N128" s="53">
        <f>L128-M128</f>
        <v>1291948.3800000001</v>
      </c>
      <c r="O128" s="53">
        <v>0</v>
      </c>
      <c r="P128" s="53">
        <v>0</v>
      </c>
      <c r="Q128" s="53">
        <f>N128-O128-P128</f>
        <v>1291948.3800000001</v>
      </c>
    </row>
    <row r="129" spans="1:17">
      <c r="A129" s="47" t="s">
        <v>16</v>
      </c>
      <c r="B129" s="48">
        <f>B$128</f>
        <v>0.26</v>
      </c>
      <c r="C129" s="48">
        <f>C$128</f>
        <v>0</v>
      </c>
      <c r="D129" s="43"/>
      <c r="E129" s="173"/>
      <c r="F129" s="329">
        <f>IF(E127&gt;E128,E127-E128,0)</f>
        <v>6801638.461538462</v>
      </c>
      <c r="G129" s="18">
        <f>F129*(B129-C129)/100</f>
        <v>17684.260000000002</v>
      </c>
      <c r="I129" s="53">
        <f>F129*C129/100</f>
        <v>0</v>
      </c>
      <c r="L129" s="53">
        <f>G129+H129+I129-J129+K129</f>
        <v>17684.260000000002</v>
      </c>
      <c r="N129" s="53">
        <f>L129-M129</f>
        <v>17684.260000000002</v>
      </c>
      <c r="Q129" s="53">
        <f>N129-O129-P129</f>
        <v>17684.260000000002</v>
      </c>
    </row>
    <row r="130" spans="1:17">
      <c r="A130" s="47" t="s">
        <v>17</v>
      </c>
      <c r="B130" s="48">
        <f t="shared" ref="B130:C133" si="63">B$128</f>
        <v>0.26</v>
      </c>
      <c r="C130" s="48">
        <f t="shared" si="63"/>
        <v>0</v>
      </c>
      <c r="D130" s="43"/>
      <c r="E130" s="173"/>
      <c r="F130" s="66">
        <v>190000000</v>
      </c>
      <c r="H130" s="18">
        <f>F130*(B130-C130)/100</f>
        <v>494000</v>
      </c>
      <c r="I130" s="53">
        <f>F130*C130/100</f>
        <v>0</v>
      </c>
      <c r="J130" s="53">
        <v>0</v>
      </c>
      <c r="K130" s="53">
        <v>0</v>
      </c>
      <c r="L130" s="53">
        <f>G130+H130+I130-J130+K130</f>
        <v>494000</v>
      </c>
      <c r="M130" s="53">
        <v>0</v>
      </c>
      <c r="N130" s="53">
        <f>L130-M130</f>
        <v>494000</v>
      </c>
      <c r="O130" s="53">
        <v>0</v>
      </c>
      <c r="P130" s="53">
        <v>0</v>
      </c>
      <c r="Q130" s="53">
        <f>N130-O130-P130</f>
        <v>494000</v>
      </c>
    </row>
    <row r="131" spans="1:17">
      <c r="A131" s="47" t="s">
        <v>18</v>
      </c>
      <c r="B131" s="48"/>
      <c r="C131" s="48"/>
      <c r="D131" s="43"/>
      <c r="E131" s="173"/>
      <c r="F131" s="43"/>
    </row>
    <row r="132" spans="1:17">
      <c r="A132" s="67" t="s">
        <v>19</v>
      </c>
      <c r="B132" s="48">
        <f t="shared" si="63"/>
        <v>0.26</v>
      </c>
      <c r="C132" s="48">
        <f t="shared" si="63"/>
        <v>0</v>
      </c>
      <c r="D132" s="43"/>
      <c r="E132" s="173"/>
      <c r="F132" s="43">
        <v>106437579.43000001</v>
      </c>
      <c r="G132" s="53">
        <v>111537.74</v>
      </c>
      <c r="H132" s="53">
        <v>165240.95999999999</v>
      </c>
      <c r="I132" s="53">
        <v>0</v>
      </c>
      <c r="J132" s="53">
        <v>15765.86</v>
      </c>
      <c r="K132" s="53">
        <v>0</v>
      </c>
      <c r="L132" s="53">
        <f>G132+H132+I132-J132+K132</f>
        <v>261012.84000000003</v>
      </c>
      <c r="M132" s="53">
        <v>39016.49</v>
      </c>
      <c r="N132" s="53">
        <f>L132-M132</f>
        <v>221996.35000000003</v>
      </c>
      <c r="O132" s="53">
        <v>9018.9</v>
      </c>
      <c r="P132" s="53">
        <v>668.53</v>
      </c>
      <c r="Q132" s="53">
        <f>N132-O132-P132</f>
        <v>212308.92000000004</v>
      </c>
    </row>
    <row r="133" spans="1:17">
      <c r="A133" s="67" t="s">
        <v>20</v>
      </c>
      <c r="B133" s="48">
        <f t="shared" si="63"/>
        <v>0.26</v>
      </c>
      <c r="C133" s="48">
        <f t="shared" si="63"/>
        <v>0</v>
      </c>
      <c r="D133" s="43"/>
      <c r="E133" s="173"/>
      <c r="F133" s="488">
        <v>8509689.3599999994</v>
      </c>
      <c r="G133" s="483">
        <v>21735.3</v>
      </c>
      <c r="H133" s="483">
        <v>389.8</v>
      </c>
      <c r="I133" s="18">
        <v>0</v>
      </c>
      <c r="J133" s="18">
        <v>0</v>
      </c>
      <c r="K133" s="18">
        <v>0</v>
      </c>
      <c r="L133" s="18">
        <f>G133+H133+I133-J133+K133</f>
        <v>22125.1</v>
      </c>
      <c r="M133" s="18">
        <v>0</v>
      </c>
      <c r="N133" s="18">
        <f>L133-M133</f>
        <v>22125.1</v>
      </c>
      <c r="O133" s="18">
        <v>173.69</v>
      </c>
      <c r="P133" s="18">
        <v>9.4</v>
      </c>
      <c r="Q133" s="18">
        <f>N133-O133-P133</f>
        <v>21942.01</v>
      </c>
    </row>
    <row r="134" spans="1:17">
      <c r="A134" s="47"/>
      <c r="B134" s="48"/>
      <c r="C134" s="48"/>
      <c r="D134" s="43"/>
      <c r="E134" s="173"/>
      <c r="F134" s="43"/>
    </row>
    <row r="135" spans="1:17" s="50" customFormat="1" ht="13.5" thickBot="1">
      <c r="A135" s="160" t="str">
        <f>"TOTAL "&amp; A126</f>
        <v>TOTAL BOULDER CITY</v>
      </c>
      <c r="B135" s="68">
        <f>B128</f>
        <v>0.26</v>
      </c>
      <c r="C135" s="68">
        <f>C128</f>
        <v>0</v>
      </c>
      <c r="D135" s="69">
        <f t="shared" ref="D135:Q135" si="64">SUM(D128:D130,D132:D133)</f>
        <v>7847</v>
      </c>
      <c r="E135" s="204"/>
      <c r="F135" s="69">
        <f t="shared" si="64"/>
        <v>1558774988.2515385</v>
      </c>
      <c r="G135" s="70">
        <f t="shared" si="64"/>
        <v>151473.04</v>
      </c>
      <c r="H135" s="70">
        <f t="shared" si="64"/>
        <v>3461309.28</v>
      </c>
      <c r="I135" s="70">
        <f t="shared" si="64"/>
        <v>0</v>
      </c>
      <c r="J135" s="70">
        <f t="shared" si="64"/>
        <v>746860.52</v>
      </c>
      <c r="K135" s="70">
        <f t="shared" si="64"/>
        <v>0</v>
      </c>
      <c r="L135" s="70">
        <f t="shared" si="64"/>
        <v>2865921.8000000003</v>
      </c>
      <c r="M135" s="70">
        <f t="shared" si="64"/>
        <v>818167.71</v>
      </c>
      <c r="N135" s="70">
        <f t="shared" si="64"/>
        <v>2047754.0900000003</v>
      </c>
      <c r="O135" s="70">
        <f t="shared" si="64"/>
        <v>9192.59</v>
      </c>
      <c r="P135" s="70">
        <f t="shared" si="64"/>
        <v>677.93</v>
      </c>
      <c r="Q135" s="70">
        <f t="shared" si="64"/>
        <v>2037883.57</v>
      </c>
    </row>
    <row r="136" spans="1:17">
      <c r="A136" s="150" t="s">
        <v>355</v>
      </c>
      <c r="B136" s="48"/>
      <c r="C136" s="48"/>
      <c r="D136" s="43"/>
      <c r="E136" s="173"/>
      <c r="F136" s="64">
        <v>1085461766</v>
      </c>
    </row>
    <row r="137" spans="1:17">
      <c r="A137" s="151" t="s">
        <v>30</v>
      </c>
      <c r="B137" s="51"/>
      <c r="C137" s="51"/>
      <c r="D137" s="52"/>
      <c r="E137" s="203"/>
      <c r="F137" s="152">
        <f>(F135-ROUND(J128/B128*100,0))-F136</f>
        <v>192122968.25153852</v>
      </c>
    </row>
    <row r="138" spans="1:17">
      <c r="A138" s="54" t="s">
        <v>308</v>
      </c>
      <c r="B138" s="51"/>
      <c r="C138" s="51"/>
      <c r="D138" s="52"/>
      <c r="E138" s="203"/>
      <c r="F138" s="52"/>
    </row>
    <row r="139" spans="1:17">
      <c r="A139" s="47"/>
      <c r="B139" s="48"/>
      <c r="C139" s="48"/>
      <c r="D139" s="43"/>
      <c r="E139" s="65">
        <v>290000000</v>
      </c>
      <c r="F139" s="43"/>
    </row>
    <row r="140" spans="1:17" s="560" customFormat="1">
      <c r="A140" s="560" t="s">
        <v>15</v>
      </c>
      <c r="B140" s="550">
        <v>0.77080000000000004</v>
      </c>
      <c r="C140" s="550">
        <v>0</v>
      </c>
      <c r="D140" s="551">
        <v>145667</v>
      </c>
      <c r="E140" s="562">
        <f>G140/B140*100</f>
        <v>63277512.973533988</v>
      </c>
      <c r="F140" s="551">
        <v>27860658614</v>
      </c>
      <c r="G140" s="552">
        <f>411810.05+75933.02</f>
        <v>487743.07</v>
      </c>
      <c r="H140" s="552">
        <f>158778070.96+29276841.6</f>
        <v>188054912.56</v>
      </c>
      <c r="I140" s="552">
        <v>0</v>
      </c>
      <c r="J140" s="552">
        <f>10802793.97+1993071.16</f>
        <v>12795865.130000001</v>
      </c>
      <c r="K140" s="552">
        <v>0</v>
      </c>
      <c r="L140" s="552">
        <f>G140+H140+I140-J140+K140</f>
        <v>175746790.5</v>
      </c>
      <c r="M140" s="561">
        <f>37464880.36+5445411.87</f>
        <v>42910292.229999997</v>
      </c>
      <c r="N140" s="552">
        <f>L140-M140</f>
        <v>132836498.27000001</v>
      </c>
      <c r="O140" s="552">
        <v>0</v>
      </c>
      <c r="P140" s="552">
        <v>0</v>
      </c>
      <c r="Q140" s="552">
        <f>N140-O140-P140</f>
        <v>132836498.27000001</v>
      </c>
    </row>
    <row r="141" spans="1:17">
      <c r="A141" s="47" t="s">
        <v>16</v>
      </c>
      <c r="B141" s="48">
        <f>B$140</f>
        <v>0.77080000000000004</v>
      </c>
      <c r="C141" s="48">
        <f>C$140</f>
        <v>0</v>
      </c>
      <c r="D141" s="43"/>
      <c r="E141" s="173"/>
      <c r="F141" s="65">
        <f>IF(E139&gt;E140,E139-E140,0)</f>
        <v>226722487.02646601</v>
      </c>
      <c r="G141" s="18">
        <f>F141*(B141-C141)/100</f>
        <v>1747576.93</v>
      </c>
      <c r="I141" s="53">
        <f>F141*C141/100</f>
        <v>0</v>
      </c>
      <c r="L141" s="53">
        <f>G141+H141+I141-J141+K141</f>
        <v>1747576.93</v>
      </c>
      <c r="N141" s="53">
        <f>L141-M141</f>
        <v>1747576.93</v>
      </c>
      <c r="Q141" s="53">
        <f>N141-O141-P141</f>
        <v>1747576.93</v>
      </c>
    </row>
    <row r="142" spans="1:17">
      <c r="A142" s="47" t="s">
        <v>17</v>
      </c>
      <c r="B142" s="48">
        <f t="shared" ref="B142:C145" si="65">B$140</f>
        <v>0.77080000000000004</v>
      </c>
      <c r="C142" s="48">
        <f t="shared" si="65"/>
        <v>0</v>
      </c>
      <c r="D142" s="43"/>
      <c r="E142" s="173"/>
      <c r="F142" s="66">
        <v>800000000</v>
      </c>
      <c r="H142" s="18">
        <f>F142*(B142-C142)/100</f>
        <v>6166400</v>
      </c>
      <c r="I142" s="53">
        <f>F142*C142/100</f>
        <v>0</v>
      </c>
      <c r="J142" s="53">
        <v>0</v>
      </c>
      <c r="K142" s="53">
        <v>0</v>
      </c>
      <c r="L142" s="53">
        <f>G142+H142+I142-J142+K142</f>
        <v>6166400</v>
      </c>
      <c r="M142" s="53">
        <v>0</v>
      </c>
      <c r="N142" s="53">
        <f>L142-M142</f>
        <v>6166400</v>
      </c>
      <c r="O142" s="53">
        <v>0</v>
      </c>
      <c r="P142" s="53">
        <v>0</v>
      </c>
      <c r="Q142" s="53">
        <f>N142-O142-P142</f>
        <v>6166400</v>
      </c>
    </row>
    <row r="143" spans="1:17">
      <c r="A143" s="47" t="s">
        <v>18</v>
      </c>
      <c r="B143" s="48"/>
      <c r="C143" s="48"/>
      <c r="D143" s="43"/>
      <c r="E143" s="173"/>
      <c r="F143" s="43"/>
    </row>
    <row r="144" spans="1:17">
      <c r="A144" s="67" t="s">
        <v>19</v>
      </c>
      <c r="B144" s="48">
        <f t="shared" si="65"/>
        <v>0.77080000000000004</v>
      </c>
      <c r="C144" s="48">
        <f t="shared" si="65"/>
        <v>0</v>
      </c>
      <c r="D144" s="43"/>
      <c r="E144" s="173"/>
      <c r="F144" s="43">
        <v>415103253.14999998</v>
      </c>
      <c r="G144" s="53">
        <v>776648.69</v>
      </c>
      <c r="H144" s="53">
        <v>2424086.1800000002</v>
      </c>
      <c r="I144" s="53">
        <v>0</v>
      </c>
      <c r="J144" s="53">
        <v>145172.26</v>
      </c>
      <c r="K144" s="53">
        <v>0</v>
      </c>
      <c r="L144" s="53">
        <f>G144+H144+I144-J144+K144</f>
        <v>3055562.6100000003</v>
      </c>
      <c r="M144" s="53">
        <v>15115.62</v>
      </c>
      <c r="N144" s="53">
        <f>L144-M144</f>
        <v>3040446.99</v>
      </c>
      <c r="O144" s="53">
        <v>333265.78000000003</v>
      </c>
      <c r="P144" s="53">
        <v>48669.72</v>
      </c>
      <c r="Q144" s="53">
        <f>N144-O144-P144</f>
        <v>2658511.4899999998</v>
      </c>
    </row>
    <row r="145" spans="1:22">
      <c r="A145" s="26" t="s">
        <v>20</v>
      </c>
      <c r="B145" s="48">
        <f t="shared" si="65"/>
        <v>0.77080000000000004</v>
      </c>
      <c r="C145" s="48">
        <f t="shared" si="65"/>
        <v>0</v>
      </c>
      <c r="D145" s="43"/>
      <c r="E145" s="173"/>
      <c r="F145" s="43">
        <v>7919577.6600000001</v>
      </c>
      <c r="G145" s="53">
        <v>58781.4</v>
      </c>
      <c r="H145" s="53">
        <v>2262.54</v>
      </c>
      <c r="I145" s="53">
        <v>0</v>
      </c>
      <c r="J145" s="53">
        <v>0</v>
      </c>
      <c r="K145" s="53">
        <v>0</v>
      </c>
      <c r="L145" s="53">
        <f>G145+H145+I145-J145+K145</f>
        <v>61043.94</v>
      </c>
      <c r="M145" s="53">
        <v>0.19</v>
      </c>
      <c r="N145" s="53">
        <f>L145-M145</f>
        <v>61043.75</v>
      </c>
      <c r="O145" s="53">
        <v>6848.49</v>
      </c>
      <c r="P145" s="53">
        <v>633.76</v>
      </c>
      <c r="Q145" s="53">
        <f>N145-O145-P145</f>
        <v>53561.5</v>
      </c>
    </row>
    <row r="146" spans="1:22">
      <c r="A146" s="47"/>
      <c r="B146" s="48"/>
      <c r="C146" s="48"/>
      <c r="D146" s="43"/>
      <c r="E146" s="173"/>
      <c r="F146" s="43"/>
    </row>
    <row r="147" spans="1:22" s="50" customFormat="1" ht="13.5" thickBot="1">
      <c r="A147" s="160" t="str">
        <f>"TOTAL "&amp; A138</f>
        <v>TOTAL CITY OF HENDERSON</v>
      </c>
      <c r="B147" s="68">
        <f>B140</f>
        <v>0.77080000000000004</v>
      </c>
      <c r="C147" s="68">
        <f>C140</f>
        <v>0</v>
      </c>
      <c r="D147" s="69">
        <f t="shared" ref="D147:Q147" si="66">SUM(D140:D142,D144:D145)</f>
        <v>145667</v>
      </c>
      <c r="E147" s="204"/>
      <c r="F147" s="69">
        <f t="shared" si="66"/>
        <v>29310403931.836468</v>
      </c>
      <c r="G147" s="70">
        <f t="shared" si="66"/>
        <v>3070750.09</v>
      </c>
      <c r="H147" s="70">
        <f t="shared" si="66"/>
        <v>196647661.28</v>
      </c>
      <c r="I147" s="70">
        <f t="shared" si="66"/>
        <v>0</v>
      </c>
      <c r="J147" s="70">
        <f t="shared" si="66"/>
        <v>12941037.390000001</v>
      </c>
      <c r="K147" s="70">
        <f t="shared" si="66"/>
        <v>0</v>
      </c>
      <c r="L147" s="70">
        <f t="shared" si="66"/>
        <v>186777373.98000002</v>
      </c>
      <c r="M147" s="70">
        <f t="shared" si="66"/>
        <v>42925408.039999992</v>
      </c>
      <c r="N147" s="70">
        <f t="shared" si="66"/>
        <v>143851965.94000003</v>
      </c>
      <c r="O147" s="70">
        <f t="shared" si="66"/>
        <v>340114.27</v>
      </c>
      <c r="P147" s="70">
        <f t="shared" si="66"/>
        <v>49303.48</v>
      </c>
      <c r="Q147" s="70">
        <f t="shared" si="66"/>
        <v>143462548.19000003</v>
      </c>
    </row>
    <row r="148" spans="1:22">
      <c r="A148" s="150" t="s">
        <v>355</v>
      </c>
      <c r="B148" s="48"/>
      <c r="C148" s="48"/>
      <c r="D148" s="43"/>
      <c r="E148" s="173"/>
      <c r="F148" s="64">
        <v>24110199069</v>
      </c>
    </row>
    <row r="149" spans="1:22">
      <c r="A149" s="151" t="s">
        <v>30</v>
      </c>
      <c r="B149" s="51"/>
      <c r="C149" s="51"/>
      <c r="D149" s="52"/>
      <c r="E149" s="203"/>
      <c r="F149" s="152">
        <f>(F147-ROUND(J140/B140*100,0))-F148</f>
        <v>3540128950.8364677</v>
      </c>
    </row>
    <row r="150" spans="1:22">
      <c r="A150" s="154" t="s">
        <v>309</v>
      </c>
      <c r="B150" s="48"/>
      <c r="C150" s="48"/>
      <c r="D150" s="43"/>
      <c r="E150" s="173"/>
      <c r="F150" s="43"/>
    </row>
    <row r="151" spans="1:22">
      <c r="A151" s="47"/>
      <c r="B151" s="48"/>
      <c r="C151" s="48"/>
      <c r="D151" s="43"/>
      <c r="E151" s="65">
        <v>628000000</v>
      </c>
      <c r="F151" s="43"/>
    </row>
    <row r="152" spans="1:22">
      <c r="A152" s="49" t="s">
        <v>367</v>
      </c>
      <c r="B152" s="48">
        <v>0.77149999999999996</v>
      </c>
      <c r="C152" s="48">
        <v>0</v>
      </c>
      <c r="D152" s="43">
        <v>227865</v>
      </c>
      <c r="E152" s="173">
        <f>G152/B152*100</f>
        <v>405704759.55930012</v>
      </c>
      <c r="F152" s="43">
        <v>37101477192</v>
      </c>
      <c r="G152" s="53">
        <v>3130012.22</v>
      </c>
      <c r="H152" s="53">
        <v>229129437.05000001</v>
      </c>
      <c r="I152" s="53">
        <v>0</v>
      </c>
      <c r="J152" s="53">
        <v>19244942.370000001</v>
      </c>
      <c r="K152" s="53">
        <v>0</v>
      </c>
      <c r="L152" s="53">
        <f>G152+H152+I152-J152+K152</f>
        <v>213014506.90000001</v>
      </c>
      <c r="M152" s="53">
        <v>49100675.649999999</v>
      </c>
      <c r="N152" s="53">
        <f>L152-M152</f>
        <v>163913831.25</v>
      </c>
      <c r="O152" s="53">
        <v>0</v>
      </c>
      <c r="P152" s="53">
        <v>0</v>
      </c>
      <c r="Q152" s="53">
        <f>N152-O152-P152</f>
        <v>163913831.25</v>
      </c>
      <c r="S152" s="53"/>
    </row>
    <row r="153" spans="1:22">
      <c r="A153" s="214" t="s">
        <v>310</v>
      </c>
      <c r="B153" s="155"/>
      <c r="C153" s="155"/>
      <c r="D153" s="66">
        <v>227865</v>
      </c>
      <c r="E153" s="173"/>
      <c r="F153" s="66">
        <v>37101477192</v>
      </c>
      <c r="G153" s="156">
        <v>443091.45</v>
      </c>
      <c r="H153" s="156">
        <v>34798826.920000002</v>
      </c>
      <c r="I153" s="156"/>
      <c r="J153" s="156">
        <v>3379316.67</v>
      </c>
      <c r="K153" s="156"/>
      <c r="L153" s="156">
        <f>G153+H153+I153-J153+K153</f>
        <v>31862601.700000003</v>
      </c>
      <c r="M153" s="156">
        <v>7222543.3200000003</v>
      </c>
      <c r="N153" s="156">
        <f>L153-M153</f>
        <v>24640058.380000003</v>
      </c>
      <c r="O153" s="156"/>
      <c r="P153" s="156"/>
      <c r="Q153" s="156">
        <f>N153-O153-P153</f>
        <v>24640058.380000003</v>
      </c>
    </row>
    <row r="154" spans="1:22">
      <c r="A154" s="47" t="s">
        <v>16</v>
      </c>
      <c r="B154" s="48">
        <f>B$152</f>
        <v>0.77149999999999996</v>
      </c>
      <c r="C154" s="48">
        <f>C$152</f>
        <v>0</v>
      </c>
      <c r="D154" s="43"/>
      <c r="E154" s="173"/>
      <c r="F154" s="65">
        <f>IF(E151&gt;E152,E151-E152,0)</f>
        <v>222295240.44069988</v>
      </c>
      <c r="G154" s="18">
        <f>F154*(B154-C154)/100</f>
        <v>1715007.7799999993</v>
      </c>
      <c r="I154" s="53">
        <f>F154*C154/100</f>
        <v>0</v>
      </c>
      <c r="L154" s="53">
        <f>G154+H154+I154-J154+K154</f>
        <v>1715007.7799999993</v>
      </c>
      <c r="N154" s="53">
        <f>L154-M154</f>
        <v>1715007.7799999993</v>
      </c>
      <c r="Q154" s="53">
        <f>N154-O154-P154</f>
        <v>1715007.7799999993</v>
      </c>
    </row>
    <row r="155" spans="1:22">
      <c r="A155" s="47" t="s">
        <v>17</v>
      </c>
      <c r="B155" s="48">
        <f>B$152</f>
        <v>0.77149999999999996</v>
      </c>
      <c r="C155" s="48">
        <f>C$152</f>
        <v>0</v>
      </c>
      <c r="D155" s="43"/>
      <c r="E155" s="173"/>
      <c r="F155" s="66">
        <v>500000000</v>
      </c>
      <c r="H155" s="18">
        <f>F155*(B155-C155)/100</f>
        <v>3857500</v>
      </c>
      <c r="I155" s="53">
        <f>F155*C155/100</f>
        <v>0</v>
      </c>
      <c r="J155" s="53">
        <v>0</v>
      </c>
      <c r="K155" s="53">
        <v>0</v>
      </c>
      <c r="L155" s="53">
        <f>G155+H155+I155-J155+K155</f>
        <v>3857500</v>
      </c>
      <c r="M155" s="53">
        <v>0</v>
      </c>
      <c r="N155" s="53">
        <f>L155-M155</f>
        <v>3857500</v>
      </c>
      <c r="O155" s="53">
        <v>0</v>
      </c>
      <c r="P155" s="53">
        <v>0</v>
      </c>
      <c r="Q155" s="53">
        <f>N155-O155-P155</f>
        <v>3857500</v>
      </c>
      <c r="S155" s="48">
        <f>B160+B499</f>
        <v>0.77149999999999996</v>
      </c>
      <c r="T155" s="49" t="s">
        <v>311</v>
      </c>
    </row>
    <row r="156" spans="1:22">
      <c r="A156" s="47" t="s">
        <v>18</v>
      </c>
      <c r="B156" s="48"/>
      <c r="C156" s="48"/>
      <c r="D156" s="43"/>
      <c r="E156" s="173"/>
      <c r="F156" s="43"/>
      <c r="S156" s="51">
        <f>B160/S155</f>
        <v>1</v>
      </c>
      <c r="T156" s="49" t="s">
        <v>312</v>
      </c>
    </row>
    <row r="157" spans="1:22">
      <c r="A157" s="67" t="s">
        <v>19</v>
      </c>
      <c r="B157" s="48">
        <f>B$152</f>
        <v>0.77149999999999996</v>
      </c>
      <c r="C157" s="48">
        <f>C$152</f>
        <v>0</v>
      </c>
      <c r="D157" s="43"/>
      <c r="E157" s="173"/>
      <c r="F157" s="43">
        <v>549311387.88</v>
      </c>
      <c r="G157" s="53">
        <v>668545.67000000004</v>
      </c>
      <c r="H157" s="53">
        <v>3570552.61</v>
      </c>
      <c r="I157" s="53">
        <v>0</v>
      </c>
      <c r="J157" s="53">
        <v>150471.91</v>
      </c>
      <c r="K157" s="53">
        <v>0</v>
      </c>
      <c r="L157" s="53">
        <f>G157+H157+I157-J157+K157</f>
        <v>4088626.37</v>
      </c>
      <c r="M157" s="53">
        <v>14857.17</v>
      </c>
      <c r="N157" s="53">
        <f>L157-M157</f>
        <v>4073769.2</v>
      </c>
      <c r="O157" s="53">
        <v>217481.31</v>
      </c>
      <c r="P157" s="53">
        <v>69465.95</v>
      </c>
      <c r="Q157" s="53">
        <f>N157-O157-P157</f>
        <v>3786821.94</v>
      </c>
      <c r="S157" s="51">
        <f>B499/S155</f>
        <v>0</v>
      </c>
      <c r="T157" s="49" t="s">
        <v>313</v>
      </c>
    </row>
    <row r="158" spans="1:22">
      <c r="A158" s="67" t="s">
        <v>20</v>
      </c>
      <c r="B158" s="48">
        <f>B$152</f>
        <v>0.77149999999999996</v>
      </c>
      <c r="C158" s="48">
        <f>C$152</f>
        <v>0</v>
      </c>
      <c r="D158" s="43"/>
      <c r="E158" s="173"/>
      <c r="F158" s="43">
        <v>9675165.4499999993</v>
      </c>
      <c r="G158" s="53">
        <v>73167.73</v>
      </c>
      <c r="H158" s="53">
        <v>1475.91</v>
      </c>
      <c r="I158" s="53">
        <v>0</v>
      </c>
      <c r="J158" s="53">
        <v>0</v>
      </c>
      <c r="K158" s="53">
        <v>0</v>
      </c>
      <c r="L158" s="53">
        <f>G158+H158+I158-J158+K158</f>
        <v>74643.64</v>
      </c>
      <c r="M158" s="53">
        <v>0.18</v>
      </c>
      <c r="N158" s="53">
        <f>L158-M158</f>
        <v>74643.460000000006</v>
      </c>
      <c r="O158" s="53">
        <v>3431.62</v>
      </c>
      <c r="P158" s="53">
        <v>904.55</v>
      </c>
      <c r="Q158" s="53">
        <f>N158-O158-P158</f>
        <v>70307.290000000008</v>
      </c>
    </row>
    <row r="159" spans="1:22">
      <c r="A159" s="47"/>
      <c r="B159" s="48"/>
      <c r="C159" s="48"/>
      <c r="D159" s="43"/>
      <c r="E159" s="173"/>
      <c r="F159" s="43"/>
      <c r="S159" s="53">
        <f>Q152+Q492</f>
        <v>163913831.25</v>
      </c>
      <c r="T159" s="49" t="s">
        <v>314</v>
      </c>
      <c r="V159" s="53"/>
    </row>
    <row r="160" spans="1:22" s="50" customFormat="1" ht="13.5" thickBot="1">
      <c r="A160" s="160" t="str">
        <f>"TOTAL "&amp; A150</f>
        <v>TOTAL CITY OF LAS VEGAS</v>
      </c>
      <c r="B160" s="68">
        <f>B152</f>
        <v>0.77149999999999996</v>
      </c>
      <c r="C160" s="480">
        <f>C152</f>
        <v>0</v>
      </c>
      <c r="D160" s="69">
        <f>D152</f>
        <v>227865</v>
      </c>
      <c r="E160" s="204"/>
      <c r="F160" s="69">
        <f>SUM(F152,F154:F155,F157:F158)</f>
        <v>38382758985.770691</v>
      </c>
      <c r="G160" s="70">
        <f t="shared" ref="G160:Q160" si="67">SUM(G152:G155,G157:G158)</f>
        <v>6029824.8499999996</v>
      </c>
      <c r="H160" s="70">
        <f t="shared" si="67"/>
        <v>271357792.49000007</v>
      </c>
      <c r="I160" s="70">
        <f t="shared" si="67"/>
        <v>0</v>
      </c>
      <c r="J160" s="70">
        <f t="shared" si="67"/>
        <v>22774730.949999999</v>
      </c>
      <c r="K160" s="70">
        <f t="shared" si="67"/>
        <v>0</v>
      </c>
      <c r="L160" s="70">
        <f t="shared" si="67"/>
        <v>254612886.39000002</v>
      </c>
      <c r="M160" s="70">
        <f t="shared" si="67"/>
        <v>56338076.32</v>
      </c>
      <c r="N160" s="70">
        <f t="shared" si="67"/>
        <v>198274810.06999999</v>
      </c>
      <c r="O160" s="70">
        <f t="shared" si="67"/>
        <v>220912.93</v>
      </c>
      <c r="P160" s="70">
        <f t="shared" si="67"/>
        <v>70370.5</v>
      </c>
      <c r="Q160" s="70">
        <f t="shared" si="67"/>
        <v>197983526.63999999</v>
      </c>
    </row>
    <row r="161" spans="1:17">
      <c r="A161" s="150" t="s">
        <v>355</v>
      </c>
      <c r="B161" s="48"/>
      <c r="C161" s="48"/>
      <c r="D161" s="43"/>
      <c r="E161" s="173"/>
      <c r="F161" s="64">
        <v>32691078620</v>
      </c>
    </row>
    <row r="162" spans="1:17">
      <c r="A162" s="151" t="s">
        <v>30</v>
      </c>
      <c r="B162" s="51"/>
      <c r="C162" s="51"/>
      <c r="D162" s="52"/>
      <c r="E162" s="203"/>
      <c r="F162" s="152">
        <f>(F160-ROUND(J152/B152*100,0))-F161</f>
        <v>3197196584.7706909</v>
      </c>
    </row>
    <row r="163" spans="1:17">
      <c r="A163" s="154" t="s">
        <v>315</v>
      </c>
      <c r="B163" s="48"/>
      <c r="C163" s="48"/>
      <c r="D163" s="43"/>
      <c r="E163" s="173"/>
      <c r="F163" s="43"/>
    </row>
    <row r="164" spans="1:17">
      <c r="A164" s="47"/>
      <c r="B164" s="48"/>
      <c r="C164" s="48"/>
      <c r="D164" s="43"/>
      <c r="E164" s="65">
        <v>18000000</v>
      </c>
      <c r="F164" s="43"/>
    </row>
    <row r="165" spans="1:17">
      <c r="A165" s="49" t="s">
        <v>15</v>
      </c>
      <c r="B165" s="48">
        <v>0.55200000000000005</v>
      </c>
      <c r="C165" s="48">
        <v>0</v>
      </c>
      <c r="D165" s="43">
        <v>15305</v>
      </c>
      <c r="E165" s="173">
        <f>G165/B165*100</f>
        <v>19711103.260869563</v>
      </c>
      <c r="F165" s="43">
        <v>1914599786</v>
      </c>
      <c r="G165" s="53">
        <v>108805.29</v>
      </c>
      <c r="H165" s="53">
        <v>9064038.3200000003</v>
      </c>
      <c r="I165" s="53">
        <v>0</v>
      </c>
      <c r="J165" s="53">
        <v>425098.5</v>
      </c>
      <c r="K165" s="53">
        <v>0</v>
      </c>
      <c r="L165" s="53">
        <f>G165+H165+I165-J165+K165</f>
        <v>8747745.1099999994</v>
      </c>
      <c r="M165" s="53">
        <v>1308950.69</v>
      </c>
      <c r="N165" s="53">
        <f>L165-M165</f>
        <v>7438794.4199999999</v>
      </c>
      <c r="O165" s="53">
        <v>0</v>
      </c>
      <c r="P165" s="53">
        <v>0</v>
      </c>
      <c r="Q165" s="53">
        <f>N165-O165-P165</f>
        <v>7438794.4199999999</v>
      </c>
    </row>
    <row r="166" spans="1:17">
      <c r="A166" s="47" t="s">
        <v>16</v>
      </c>
      <c r="B166" s="48">
        <f>B$165</f>
        <v>0.55200000000000005</v>
      </c>
      <c r="C166" s="48">
        <f>C$165</f>
        <v>0</v>
      </c>
      <c r="D166" s="43"/>
      <c r="E166" s="173"/>
      <c r="F166" s="65">
        <f>IF(E164&gt;E165,E164-E165,0)</f>
        <v>0</v>
      </c>
      <c r="G166" s="53">
        <f>F166*(B166-C166)/100</f>
        <v>0</v>
      </c>
      <c r="I166" s="53">
        <f>F166*C166/100</f>
        <v>0</v>
      </c>
      <c r="L166" s="53">
        <f>G166+H166+I166-J166+K166</f>
        <v>0</v>
      </c>
      <c r="N166" s="53">
        <f>L166-M166</f>
        <v>0</v>
      </c>
      <c r="Q166" s="53">
        <f>N166-O166-P166</f>
        <v>0</v>
      </c>
    </row>
    <row r="167" spans="1:17">
      <c r="A167" s="47" t="s">
        <v>17</v>
      </c>
      <c r="B167" s="48">
        <f t="shared" ref="B167:C170" si="68">B$165</f>
        <v>0.55200000000000005</v>
      </c>
      <c r="C167" s="48">
        <f t="shared" si="68"/>
        <v>0</v>
      </c>
      <c r="D167" s="43"/>
      <c r="E167" s="173"/>
      <c r="F167" s="66">
        <v>36000000</v>
      </c>
      <c r="H167" s="53">
        <f>F167*(B167-C167)/100</f>
        <v>198720</v>
      </c>
      <c r="I167" s="53">
        <f>F167*C167/100</f>
        <v>0</v>
      </c>
      <c r="J167" s="53">
        <v>0</v>
      </c>
      <c r="K167" s="53">
        <v>0</v>
      </c>
      <c r="L167" s="53">
        <f>G167+H167+I167-J167+K167</f>
        <v>198720</v>
      </c>
      <c r="M167" s="53">
        <v>0</v>
      </c>
      <c r="N167" s="53">
        <f>L167-M167</f>
        <v>198720</v>
      </c>
      <c r="O167" s="53">
        <v>0</v>
      </c>
      <c r="P167" s="53">
        <v>0</v>
      </c>
      <c r="Q167" s="53">
        <f>N167-O167-P167</f>
        <v>198720</v>
      </c>
    </row>
    <row r="168" spans="1:17">
      <c r="A168" s="47" t="s">
        <v>18</v>
      </c>
      <c r="B168" s="48"/>
      <c r="C168" s="48"/>
      <c r="D168" s="43"/>
      <c r="E168" s="173"/>
      <c r="F168" s="43"/>
    </row>
    <row r="169" spans="1:17">
      <c r="A169" s="67" t="s">
        <v>19</v>
      </c>
      <c r="B169" s="48">
        <f t="shared" si="68"/>
        <v>0.55200000000000005</v>
      </c>
      <c r="C169" s="48">
        <f t="shared" si="68"/>
        <v>0</v>
      </c>
      <c r="D169" s="43"/>
      <c r="E169" s="173"/>
      <c r="F169" s="43">
        <v>7258157.4100000001</v>
      </c>
      <c r="G169" s="53">
        <v>2540.25</v>
      </c>
      <c r="H169" s="53">
        <v>37529.69</v>
      </c>
      <c r="I169" s="53">
        <v>0</v>
      </c>
      <c r="J169" s="53">
        <v>887.8</v>
      </c>
      <c r="K169" s="53">
        <v>0</v>
      </c>
      <c r="L169" s="53">
        <f>G169+H169+I169-J169+K169</f>
        <v>39182.14</v>
      </c>
      <c r="M169" s="53">
        <v>713.09</v>
      </c>
      <c r="N169" s="53">
        <f>L169-M169</f>
        <v>38469.050000000003</v>
      </c>
      <c r="O169" s="53">
        <v>6676.92</v>
      </c>
      <c r="P169" s="53">
        <v>0</v>
      </c>
      <c r="Q169" s="53">
        <f>N169-O169-P169</f>
        <v>31792.130000000005</v>
      </c>
    </row>
    <row r="170" spans="1:17">
      <c r="A170" s="67" t="s">
        <v>20</v>
      </c>
      <c r="B170" s="48">
        <f t="shared" si="68"/>
        <v>0.55200000000000005</v>
      </c>
      <c r="C170" s="48">
        <f t="shared" si="68"/>
        <v>0</v>
      </c>
      <c r="D170" s="43"/>
      <c r="E170" s="173"/>
      <c r="F170" s="43">
        <v>544092.38</v>
      </c>
      <c r="G170" s="53">
        <v>2999.53</v>
      </c>
      <c r="H170" s="53">
        <v>3.85</v>
      </c>
      <c r="I170" s="53">
        <v>0</v>
      </c>
      <c r="J170" s="53">
        <v>0</v>
      </c>
      <c r="K170" s="53">
        <v>0</v>
      </c>
      <c r="L170" s="53">
        <f>G170+H170+I170-J170+K170</f>
        <v>3003.38</v>
      </c>
      <c r="M170" s="53">
        <v>0</v>
      </c>
      <c r="N170" s="53">
        <f>L170-M170</f>
        <v>3003.38</v>
      </c>
      <c r="O170" s="53">
        <v>507</v>
      </c>
      <c r="P170" s="53">
        <v>0</v>
      </c>
      <c r="Q170" s="53">
        <f>N170-O170-P170</f>
        <v>2496.38</v>
      </c>
    </row>
    <row r="171" spans="1:17">
      <c r="A171" s="47"/>
      <c r="B171" s="48"/>
      <c r="C171" s="48"/>
      <c r="D171" s="43"/>
      <c r="E171" s="173"/>
      <c r="F171" s="43"/>
    </row>
    <row r="172" spans="1:17" s="50" customFormat="1" ht="13.5" thickBot="1">
      <c r="A172" s="160" t="str">
        <f>"TOTAL "&amp; A163</f>
        <v>TOTAL CITY OF MESQUITE</v>
      </c>
      <c r="B172" s="68">
        <f>B165</f>
        <v>0.55200000000000005</v>
      </c>
      <c r="C172" s="68">
        <f>C165</f>
        <v>0</v>
      </c>
      <c r="D172" s="69">
        <f t="shared" ref="D172:Q172" si="69">SUM(D165:D167,D169:D170)</f>
        <v>15305</v>
      </c>
      <c r="E172" s="204"/>
      <c r="F172" s="69">
        <f t="shared" si="69"/>
        <v>1958402035.7900002</v>
      </c>
      <c r="G172" s="70">
        <f t="shared" si="69"/>
        <v>114345.06999999999</v>
      </c>
      <c r="H172" s="70">
        <f t="shared" si="69"/>
        <v>9300291.8599999994</v>
      </c>
      <c r="I172" s="70">
        <f t="shared" si="69"/>
        <v>0</v>
      </c>
      <c r="J172" s="70">
        <f t="shared" si="69"/>
        <v>425986.3</v>
      </c>
      <c r="K172" s="70">
        <f t="shared" si="69"/>
        <v>0</v>
      </c>
      <c r="L172" s="70">
        <f t="shared" si="69"/>
        <v>8988650.6300000008</v>
      </c>
      <c r="M172" s="70">
        <f t="shared" si="69"/>
        <v>1309663.78</v>
      </c>
      <c r="N172" s="70">
        <f t="shared" si="69"/>
        <v>7678986.8499999996</v>
      </c>
      <c r="O172" s="70">
        <f t="shared" si="69"/>
        <v>7183.92</v>
      </c>
      <c r="P172" s="70">
        <f t="shared" si="69"/>
        <v>0</v>
      </c>
      <c r="Q172" s="70">
        <f t="shared" si="69"/>
        <v>7671802.9299999997</v>
      </c>
    </row>
    <row r="173" spans="1:17">
      <c r="A173" s="150" t="s">
        <v>355</v>
      </c>
      <c r="B173" s="48"/>
      <c r="C173" s="48"/>
      <c r="D173" s="43"/>
      <c r="E173" s="173"/>
      <c r="F173" s="64">
        <v>1631631372</v>
      </c>
    </row>
    <row r="174" spans="1:17">
      <c r="A174" s="151" t="s">
        <v>30</v>
      </c>
      <c r="B174" s="51"/>
      <c r="C174" s="51"/>
      <c r="D174" s="52"/>
      <c r="E174" s="203"/>
      <c r="F174" s="152">
        <f>(F172-ROUND(J165/B165*100,0))-F173</f>
        <v>249760065.7900002</v>
      </c>
    </row>
    <row r="175" spans="1:17">
      <c r="A175" s="54" t="s">
        <v>316</v>
      </c>
    </row>
    <row r="176" spans="1:17">
      <c r="E176" s="65">
        <v>327000000</v>
      </c>
    </row>
    <row r="177" spans="1:17">
      <c r="A177" s="49" t="s">
        <v>368</v>
      </c>
      <c r="B177" s="48">
        <v>1.1587000000000001</v>
      </c>
      <c r="C177" s="48">
        <v>0</v>
      </c>
      <c r="D177" s="43">
        <v>97110</v>
      </c>
      <c r="E177" s="173">
        <f>G177/B177*100</f>
        <v>7867964.9607318537</v>
      </c>
      <c r="F177" s="43">
        <v>16508410948</v>
      </c>
      <c r="G177" s="53">
        <v>91166.11</v>
      </c>
      <c r="H177" s="53">
        <v>31428794.549999997</v>
      </c>
      <c r="I177" s="53">
        <v>0</v>
      </c>
      <c r="J177" s="53">
        <v>3282541.88</v>
      </c>
      <c r="K177" s="53">
        <v>0</v>
      </c>
      <c r="L177" s="53">
        <f>G177+H177+I177-J177+K177</f>
        <v>28237418.779999997</v>
      </c>
      <c r="M177" s="53">
        <v>7776396.9699999997</v>
      </c>
      <c r="N177" s="53">
        <f>L177-M177</f>
        <v>20461021.809999999</v>
      </c>
      <c r="O177" s="53">
        <v>0</v>
      </c>
      <c r="P177" s="53">
        <v>0</v>
      </c>
      <c r="Q177" s="53">
        <f>N177-O177-P177</f>
        <v>20461021.809999999</v>
      </c>
    </row>
    <row r="178" spans="1:17">
      <c r="A178" s="213" t="s">
        <v>317</v>
      </c>
      <c r="B178" s="155"/>
      <c r="C178" s="155"/>
      <c r="D178" s="66"/>
      <c r="E178" s="173"/>
      <c r="F178" s="66">
        <v>16508410948</v>
      </c>
      <c r="G178" s="156">
        <v>343579.04</v>
      </c>
      <c r="H178" s="156">
        <v>118446153.85000001</v>
      </c>
      <c r="I178" s="156"/>
      <c r="J178" s="156">
        <v>12370955.870000001</v>
      </c>
      <c r="K178" s="156">
        <v>0</v>
      </c>
      <c r="L178" s="156">
        <f>G178+H178+I178-J178+K178</f>
        <v>106418777.02000001</v>
      </c>
      <c r="M178" s="156">
        <v>29307017.969999999</v>
      </c>
      <c r="N178" s="156">
        <f>L178-M178</f>
        <v>77111759.050000012</v>
      </c>
      <c r="O178" s="156"/>
      <c r="P178" s="156"/>
      <c r="Q178" s="156">
        <f>N178-O178-P178</f>
        <v>77111759.050000012</v>
      </c>
    </row>
    <row r="179" spans="1:17">
      <c r="A179" s="213" t="s">
        <v>318</v>
      </c>
      <c r="B179" s="155"/>
      <c r="C179" s="155"/>
      <c r="D179" s="66"/>
      <c r="E179" s="173"/>
      <c r="F179" s="66">
        <v>16508410948</v>
      </c>
      <c r="G179" s="156">
        <v>110604.21</v>
      </c>
      <c r="H179" s="156">
        <v>38129926.280000001</v>
      </c>
      <c r="I179" s="156"/>
      <c r="J179" s="156">
        <v>3982431.0799999996</v>
      </c>
      <c r="K179" s="156">
        <v>0</v>
      </c>
      <c r="L179" s="156">
        <f>G179+H179+I179-J179+K179</f>
        <v>34258099.410000004</v>
      </c>
      <c r="M179" s="156">
        <v>9434456.0300000012</v>
      </c>
      <c r="N179" s="156">
        <f>L179-M179</f>
        <v>24823643.380000003</v>
      </c>
      <c r="O179" s="156"/>
      <c r="P179" s="156"/>
      <c r="Q179" s="156">
        <f>N179-O179</f>
        <v>24823643.380000003</v>
      </c>
    </row>
    <row r="180" spans="1:17">
      <c r="A180" s="47" t="s">
        <v>16</v>
      </c>
      <c r="B180" s="48">
        <f>B$177</f>
        <v>1.1587000000000001</v>
      </c>
      <c r="C180" s="48">
        <f>C$177</f>
        <v>0</v>
      </c>
      <c r="D180" s="43"/>
      <c r="E180" s="173"/>
      <c r="F180" s="65">
        <f>IF(E176&gt;E177,E176-E177,0)</f>
        <v>319132035.03926814</v>
      </c>
      <c r="G180" s="53">
        <f>F180*(B180-C180)/100</f>
        <v>3697782.89</v>
      </c>
      <c r="I180" s="53">
        <f>F180*C180/100</f>
        <v>0</v>
      </c>
      <c r="J180" s="53">
        <v>0</v>
      </c>
      <c r="K180" s="53">
        <v>0</v>
      </c>
      <c r="L180" s="53">
        <f>G180+H180+I180-J180+K180</f>
        <v>3697782.89</v>
      </c>
      <c r="M180" s="53">
        <v>0</v>
      </c>
      <c r="N180" s="53">
        <f>L180-M180</f>
        <v>3697782.89</v>
      </c>
      <c r="Q180" s="53">
        <f>N180-O180-P180</f>
        <v>3697782.89</v>
      </c>
    </row>
    <row r="181" spans="1:17">
      <c r="A181" s="47" t="s">
        <v>17</v>
      </c>
      <c r="B181" s="48">
        <f t="shared" ref="B181:C184" si="70">B$177</f>
        <v>1.1587000000000001</v>
      </c>
      <c r="C181" s="48">
        <f t="shared" si="70"/>
        <v>0</v>
      </c>
      <c r="D181" s="43"/>
      <c r="E181" s="173"/>
      <c r="F181" s="66">
        <v>800000000</v>
      </c>
      <c r="H181" s="18">
        <f>F181*(B181-C181)/100</f>
        <v>9269600</v>
      </c>
      <c r="I181" s="53">
        <f>F181*C181/100</f>
        <v>0</v>
      </c>
      <c r="J181" s="53">
        <v>0</v>
      </c>
      <c r="K181" s="53">
        <v>0</v>
      </c>
      <c r="L181" s="53">
        <f>G181+H181+I181-J181+K181</f>
        <v>9269600</v>
      </c>
      <c r="M181" s="53">
        <v>0</v>
      </c>
      <c r="N181" s="53">
        <f>L181-M181</f>
        <v>9269600</v>
      </c>
      <c r="O181" s="53">
        <v>0</v>
      </c>
      <c r="P181" s="53">
        <v>0</v>
      </c>
      <c r="Q181" s="53">
        <f>N181-O181-P181</f>
        <v>9269600</v>
      </c>
    </row>
    <row r="182" spans="1:17">
      <c r="A182" s="47" t="s">
        <v>18</v>
      </c>
      <c r="B182" s="48"/>
      <c r="C182" s="48"/>
      <c r="D182" s="43"/>
      <c r="E182" s="173"/>
      <c r="F182" s="43"/>
    </row>
    <row r="183" spans="1:17">
      <c r="A183" s="67" t="s">
        <v>19</v>
      </c>
      <c r="B183" s="48">
        <f t="shared" si="70"/>
        <v>1.1587000000000001</v>
      </c>
      <c r="C183" s="48">
        <f t="shared" si="70"/>
        <v>0</v>
      </c>
      <c r="D183" s="43"/>
      <c r="E183" s="173"/>
      <c r="F183" s="43">
        <v>271691283.23000002</v>
      </c>
      <c r="G183" s="53">
        <v>377077.1</v>
      </c>
      <c r="H183" s="53">
        <v>2772121.15</v>
      </c>
      <c r="I183" s="53">
        <v>0</v>
      </c>
      <c r="J183" s="53">
        <v>95917.34</v>
      </c>
      <c r="K183" s="53">
        <v>0</v>
      </c>
      <c r="L183" s="53">
        <f>G183+H183+I183-J183+K183</f>
        <v>3053280.91</v>
      </c>
      <c r="M183" s="53">
        <v>14656.66</v>
      </c>
      <c r="N183" s="53">
        <f>L183-M183</f>
        <v>3038624.25</v>
      </c>
      <c r="O183" s="53">
        <v>66025.490000000005</v>
      </c>
      <c r="P183" s="53">
        <v>49423.71</v>
      </c>
      <c r="Q183" s="53">
        <f>N183-O183-P183</f>
        <v>2923175.05</v>
      </c>
    </row>
    <row r="184" spans="1:17">
      <c r="A184" s="67" t="s">
        <v>20</v>
      </c>
      <c r="B184" s="48">
        <f t="shared" si="70"/>
        <v>1.1587000000000001</v>
      </c>
      <c r="C184" s="48">
        <f t="shared" si="70"/>
        <v>0</v>
      </c>
      <c r="D184" s="43"/>
      <c r="E184" s="173"/>
      <c r="F184" s="43">
        <v>5076905.88</v>
      </c>
      <c r="G184" s="53">
        <v>57836.78</v>
      </c>
      <c r="H184" s="53">
        <v>989.2</v>
      </c>
      <c r="I184" s="53">
        <v>0</v>
      </c>
      <c r="J184" s="53">
        <v>0</v>
      </c>
      <c r="K184" s="53">
        <v>0</v>
      </c>
      <c r="L184" s="53">
        <f>G184+H184+I184-J184+K184</f>
        <v>58825.979999999996</v>
      </c>
      <c r="M184" s="53">
        <v>0.77</v>
      </c>
      <c r="N184" s="53">
        <f>L184-M184</f>
        <v>58825.21</v>
      </c>
      <c r="O184" s="53">
        <v>1378.32</v>
      </c>
      <c r="P184" s="53">
        <v>643.58000000000004</v>
      </c>
      <c r="Q184" s="53">
        <f>N184-O184-P184</f>
        <v>56803.31</v>
      </c>
    </row>
    <row r="185" spans="1:17">
      <c r="A185" s="47"/>
      <c r="B185" s="48"/>
      <c r="C185" s="48"/>
      <c r="D185" s="43"/>
      <c r="E185" s="173"/>
      <c r="F185" s="43"/>
    </row>
    <row r="186" spans="1:17" s="50" customFormat="1" ht="13.5" thickBot="1">
      <c r="A186" s="160" t="str">
        <f>"TOTAL "&amp; A175</f>
        <v>TOTAL CITY OF NORTH LAS VEGAS</v>
      </c>
      <c r="B186" s="68">
        <f>B177</f>
        <v>1.1587000000000001</v>
      </c>
      <c r="C186" s="68">
        <f>C177</f>
        <v>0</v>
      </c>
      <c r="D186" s="69">
        <f>D177</f>
        <v>97110</v>
      </c>
      <c r="E186" s="204"/>
      <c r="F186" s="69">
        <f>SUM(F177,F180:F181,F183:F184)</f>
        <v>17904311172.149269</v>
      </c>
      <c r="G186" s="70">
        <f t="shared" ref="G186:Q186" si="71">SUM(G177:G181,G183:G184)</f>
        <v>4678046.13</v>
      </c>
      <c r="H186" s="70">
        <f t="shared" si="71"/>
        <v>200047585.03</v>
      </c>
      <c r="I186" s="70">
        <f t="shared" si="71"/>
        <v>0</v>
      </c>
      <c r="J186" s="70">
        <f t="shared" si="71"/>
        <v>19731846.169999998</v>
      </c>
      <c r="K186" s="70">
        <f t="shared" si="71"/>
        <v>0</v>
      </c>
      <c r="L186" s="70">
        <f t="shared" si="71"/>
        <v>184993784.98999998</v>
      </c>
      <c r="M186" s="70">
        <f t="shared" si="71"/>
        <v>46532528.399999999</v>
      </c>
      <c r="N186" s="70">
        <f t="shared" si="71"/>
        <v>138461256.59</v>
      </c>
      <c r="O186" s="70">
        <f t="shared" si="71"/>
        <v>67403.810000000012</v>
      </c>
      <c r="P186" s="70">
        <f t="shared" si="71"/>
        <v>50067.29</v>
      </c>
      <c r="Q186" s="70">
        <f t="shared" si="71"/>
        <v>138343785.49000001</v>
      </c>
    </row>
    <row r="187" spans="1:17">
      <c r="A187" s="150" t="s">
        <v>355</v>
      </c>
      <c r="B187" s="48"/>
      <c r="C187" s="48"/>
      <c r="D187" s="43"/>
      <c r="E187" s="173"/>
      <c r="F187" s="64">
        <v>15800072224</v>
      </c>
    </row>
    <row r="188" spans="1:17">
      <c r="A188" s="151" t="s">
        <v>30</v>
      </c>
      <c r="B188" s="51"/>
      <c r="C188" s="51"/>
      <c r="D188" s="52"/>
      <c r="E188" s="203"/>
      <c r="F188" s="152">
        <f>(F186-ROUND((J177+J178+J179)/B177*100,0))-F187</f>
        <v>409587284.1492691</v>
      </c>
    </row>
    <row r="189" spans="1:17">
      <c r="A189" s="54" t="s">
        <v>319</v>
      </c>
      <c r="E189" s="203"/>
    </row>
    <row r="190" spans="1:17">
      <c r="A190" s="50"/>
      <c r="B190" s="50"/>
      <c r="C190" s="50"/>
      <c r="D190" s="50"/>
      <c r="E190" s="65">
        <v>500000</v>
      </c>
      <c r="F190" s="50"/>
      <c r="G190" s="59"/>
    </row>
    <row r="191" spans="1:17">
      <c r="A191" s="49" t="s">
        <v>15</v>
      </c>
      <c r="B191" s="48">
        <v>0.02</v>
      </c>
      <c r="C191" s="48">
        <v>0</v>
      </c>
      <c r="D191" s="43">
        <v>1251</v>
      </c>
      <c r="E191" s="203">
        <f>G191/B191*100</f>
        <v>0</v>
      </c>
      <c r="F191" s="43">
        <v>135907552</v>
      </c>
      <c r="H191" s="53">
        <v>27181.510000000002</v>
      </c>
      <c r="I191" s="53">
        <v>0</v>
      </c>
      <c r="J191" s="53">
        <v>20186.419999999998</v>
      </c>
      <c r="K191" s="53">
        <v>0</v>
      </c>
      <c r="L191" s="53">
        <f>G191+H191+I191-J191+K191</f>
        <v>6995.0900000000038</v>
      </c>
      <c r="M191" s="53">
        <v>1647.01</v>
      </c>
      <c r="N191" s="53">
        <f>L191-M191</f>
        <v>5348.0800000000036</v>
      </c>
      <c r="O191" s="53">
        <v>0</v>
      </c>
      <c r="P191" s="53">
        <v>0</v>
      </c>
      <c r="Q191" s="53">
        <f>N191-O191-P191</f>
        <v>5348.0800000000036</v>
      </c>
    </row>
    <row r="192" spans="1:17">
      <c r="A192" s="47" t="s">
        <v>16</v>
      </c>
      <c r="B192" s="48">
        <f>B$191</f>
        <v>0.02</v>
      </c>
      <c r="C192" s="48">
        <f>C$191</f>
        <v>0</v>
      </c>
      <c r="D192" s="43"/>
      <c r="E192" s="203"/>
      <c r="F192" s="65">
        <f>IF(E190&gt;E191,E190-E191,0)</f>
        <v>500000</v>
      </c>
      <c r="G192" s="53">
        <f>F192*(B192-C192)/100</f>
        <v>100</v>
      </c>
      <c r="I192" s="53">
        <f>F192*C192/100</f>
        <v>0</v>
      </c>
      <c r="L192" s="53">
        <f>G192+H192+I192-J192+K192</f>
        <v>100</v>
      </c>
      <c r="N192" s="53">
        <f>L192-M192</f>
        <v>100</v>
      </c>
      <c r="Q192" s="53">
        <f>N192-O192-P192</f>
        <v>100</v>
      </c>
    </row>
    <row r="193" spans="1:17">
      <c r="A193" s="47" t="s">
        <v>17</v>
      </c>
      <c r="B193" s="48">
        <f t="shared" ref="B193:C196" si="72">B$191</f>
        <v>0.02</v>
      </c>
      <c r="C193" s="48">
        <f t="shared" si="72"/>
        <v>0</v>
      </c>
      <c r="D193" s="43"/>
      <c r="E193" s="203"/>
      <c r="F193" s="66">
        <v>2000000</v>
      </c>
      <c r="H193" s="18">
        <f>F193*(B193-C193)/100</f>
        <v>400</v>
      </c>
      <c r="I193" s="53">
        <v>0</v>
      </c>
      <c r="J193" s="53">
        <v>0</v>
      </c>
      <c r="K193" s="53">
        <v>0</v>
      </c>
      <c r="L193" s="53">
        <f>G193+H193+I193-J193+K193</f>
        <v>400</v>
      </c>
      <c r="M193" s="53">
        <v>0</v>
      </c>
      <c r="N193" s="53">
        <f>L193-M193</f>
        <v>400</v>
      </c>
      <c r="O193" s="53">
        <v>0</v>
      </c>
      <c r="P193" s="53">
        <v>0</v>
      </c>
      <c r="Q193" s="53">
        <f>N193-O193-P193</f>
        <v>400</v>
      </c>
    </row>
    <row r="194" spans="1:17">
      <c r="A194" s="47" t="s">
        <v>18</v>
      </c>
      <c r="B194" s="48"/>
      <c r="C194" s="48"/>
      <c r="D194" s="43"/>
      <c r="E194" s="203"/>
      <c r="F194" s="43"/>
    </row>
    <row r="195" spans="1:17">
      <c r="A195" s="67" t="s">
        <v>19</v>
      </c>
      <c r="B195" s="48">
        <f t="shared" si="72"/>
        <v>0.02</v>
      </c>
      <c r="C195" s="48">
        <f t="shared" si="72"/>
        <v>0</v>
      </c>
      <c r="D195" s="43"/>
      <c r="E195" s="203"/>
      <c r="F195" s="43">
        <v>8450199.0500000007</v>
      </c>
      <c r="G195" s="53">
        <v>3446.47</v>
      </c>
      <c r="H195" s="53">
        <v>1756.33</v>
      </c>
      <c r="I195" s="53">
        <v>0</v>
      </c>
      <c r="J195" s="53">
        <v>445.63</v>
      </c>
      <c r="K195" s="53">
        <v>0</v>
      </c>
      <c r="L195" s="53">
        <f>G195+H195+I195-J195+K195</f>
        <v>4757.1699999999992</v>
      </c>
      <c r="M195" s="53">
        <v>1.73</v>
      </c>
      <c r="N195" s="53">
        <f>L195-M195</f>
        <v>4755.4399999999996</v>
      </c>
      <c r="O195" s="53">
        <v>0</v>
      </c>
      <c r="P195" s="53">
        <v>0</v>
      </c>
      <c r="Q195" s="53">
        <f>N195-O195-P195</f>
        <v>4755.4399999999996</v>
      </c>
    </row>
    <row r="196" spans="1:17">
      <c r="A196" s="67" t="s">
        <v>20</v>
      </c>
      <c r="B196" s="48">
        <f t="shared" si="72"/>
        <v>0.02</v>
      </c>
      <c r="C196" s="48">
        <f t="shared" si="72"/>
        <v>0</v>
      </c>
      <c r="D196" s="43"/>
      <c r="E196" s="203"/>
      <c r="F196" s="43">
        <v>144774.60999999999</v>
      </c>
      <c r="G196" s="53">
        <v>15.65</v>
      </c>
      <c r="H196" s="53">
        <v>13.3</v>
      </c>
      <c r="I196" s="53">
        <v>0</v>
      </c>
      <c r="J196" s="53">
        <v>0</v>
      </c>
      <c r="K196" s="53">
        <v>0</v>
      </c>
      <c r="L196" s="53">
        <f>G196+H196+I196-J196+K196</f>
        <v>28.950000000000003</v>
      </c>
      <c r="M196" s="53">
        <v>0</v>
      </c>
      <c r="N196" s="53">
        <f>L196-M196</f>
        <v>28.950000000000003</v>
      </c>
      <c r="O196" s="53">
        <v>0</v>
      </c>
      <c r="P196" s="53">
        <v>0</v>
      </c>
      <c r="Q196" s="53">
        <f>N196-O196-P196</f>
        <v>28.950000000000003</v>
      </c>
    </row>
    <row r="197" spans="1:17">
      <c r="A197" s="47"/>
      <c r="B197" s="48"/>
      <c r="C197" s="48"/>
      <c r="D197" s="43"/>
      <c r="E197" s="203"/>
      <c r="F197" s="43"/>
    </row>
    <row r="198" spans="1:17" s="50" customFormat="1" ht="13.5" thickBot="1">
      <c r="A198" s="160" t="str">
        <f>"TOTAL "&amp; A189</f>
        <v>TOTAL BUNKERVILLE TOWN</v>
      </c>
      <c r="B198" s="68">
        <f>B191</f>
        <v>0.02</v>
      </c>
      <c r="C198" s="68">
        <f>C191</f>
        <v>0</v>
      </c>
      <c r="D198" s="69">
        <f t="shared" ref="D198:Q198" si="73">SUM(D191:D193,D195:D196)</f>
        <v>1251</v>
      </c>
      <c r="E198" s="204"/>
      <c r="F198" s="69">
        <f t="shared" si="73"/>
        <v>147002525.66000003</v>
      </c>
      <c r="G198" s="70">
        <f t="shared" si="73"/>
        <v>3562.12</v>
      </c>
      <c r="H198" s="70">
        <f t="shared" si="73"/>
        <v>29351.140000000003</v>
      </c>
      <c r="I198" s="70">
        <f t="shared" si="73"/>
        <v>0</v>
      </c>
      <c r="J198" s="70">
        <f t="shared" si="73"/>
        <v>20632.05</v>
      </c>
      <c r="K198" s="70">
        <f t="shared" si="73"/>
        <v>0</v>
      </c>
      <c r="L198" s="70">
        <f t="shared" si="73"/>
        <v>12281.210000000003</v>
      </c>
      <c r="M198" s="70">
        <f t="shared" si="73"/>
        <v>1648.74</v>
      </c>
      <c r="N198" s="70">
        <f t="shared" si="73"/>
        <v>10632.470000000005</v>
      </c>
      <c r="O198" s="70">
        <f t="shared" si="73"/>
        <v>0</v>
      </c>
      <c r="P198" s="70">
        <f t="shared" si="73"/>
        <v>0</v>
      </c>
      <c r="Q198" s="70">
        <f t="shared" si="73"/>
        <v>10632.470000000005</v>
      </c>
    </row>
    <row r="199" spans="1:17">
      <c r="A199" s="150" t="s">
        <v>355</v>
      </c>
      <c r="B199" s="48"/>
      <c r="C199" s="48"/>
      <c r="D199" s="43"/>
      <c r="E199" s="203"/>
      <c r="F199" s="64">
        <v>43783707</v>
      </c>
    </row>
    <row r="200" spans="1:17">
      <c r="A200" s="151" t="s">
        <v>30</v>
      </c>
      <c r="B200" s="51"/>
      <c r="C200" s="51"/>
      <c r="D200" s="52"/>
      <c r="E200" s="203"/>
      <c r="F200" s="152">
        <f>(F198-ROUND(J191/B191*100,0))-F199</f>
        <v>2286718.6600000262</v>
      </c>
    </row>
    <row r="201" spans="1:17">
      <c r="A201" s="54" t="s">
        <v>320</v>
      </c>
    </row>
    <row r="202" spans="1:17">
      <c r="A202" s="83"/>
      <c r="B202" s="84"/>
      <c r="C202" s="84"/>
      <c r="D202" s="84"/>
      <c r="E202" s="65">
        <v>372000000</v>
      </c>
      <c r="F202" s="84"/>
      <c r="G202" s="59"/>
    </row>
    <row r="203" spans="1:17">
      <c r="A203" s="49" t="s">
        <v>15</v>
      </c>
      <c r="B203" s="48">
        <v>0.2064</v>
      </c>
      <c r="C203" s="48">
        <v>0</v>
      </c>
      <c r="D203" s="43">
        <v>96819</v>
      </c>
      <c r="E203" s="173">
        <f>G203/B203*100</f>
        <v>98990717.054263562</v>
      </c>
      <c r="F203" s="43">
        <v>19654727925</v>
      </c>
      <c r="G203" s="53">
        <v>204316.84</v>
      </c>
      <c r="H203" s="53">
        <v>40357706.789999999</v>
      </c>
      <c r="I203" s="53">
        <v>0</v>
      </c>
      <c r="J203" s="53">
        <v>2685975.47</v>
      </c>
      <c r="K203" s="53">
        <v>0</v>
      </c>
      <c r="L203" s="53">
        <f>G203+H203+I203-J203+K203</f>
        <v>37876048.160000004</v>
      </c>
      <c r="M203" s="53">
        <v>8694729.8000000007</v>
      </c>
      <c r="N203" s="53">
        <f>L203-M203</f>
        <v>29181318.360000003</v>
      </c>
      <c r="O203" s="53">
        <v>0</v>
      </c>
      <c r="P203" s="53">
        <v>0</v>
      </c>
      <c r="Q203" s="53">
        <f>N203-O203-P203</f>
        <v>29181318.360000003</v>
      </c>
    </row>
    <row r="204" spans="1:17">
      <c r="A204" s="47" t="s">
        <v>16</v>
      </c>
      <c r="B204" s="48">
        <f>B$203</f>
        <v>0.2064</v>
      </c>
      <c r="C204" s="48">
        <f>C$203</f>
        <v>0</v>
      </c>
      <c r="D204" s="43"/>
      <c r="E204" s="173"/>
      <c r="F204" s="65">
        <f>IF(E202&gt;E203,E202-E203,0)</f>
        <v>273009282.94573641</v>
      </c>
      <c r="G204" s="18">
        <f>F204*(B204-C204)/100</f>
        <v>563491.15999999992</v>
      </c>
      <c r="L204" s="53">
        <f>G204+H204+I204-J204+K204</f>
        <v>563491.15999999992</v>
      </c>
      <c r="N204" s="53">
        <f>L204-M204</f>
        <v>563491.15999999992</v>
      </c>
      <c r="Q204" s="53">
        <f>N204-O204-P204</f>
        <v>563491.15999999992</v>
      </c>
    </row>
    <row r="205" spans="1:17">
      <c r="A205" s="47" t="s">
        <v>17</v>
      </c>
      <c r="B205" s="48">
        <f t="shared" ref="B205:C208" si="74">B$203</f>
        <v>0.2064</v>
      </c>
      <c r="C205" s="48">
        <f t="shared" si="74"/>
        <v>0</v>
      </c>
      <c r="D205" s="43"/>
      <c r="E205" s="173"/>
      <c r="F205" s="66">
        <v>700000000</v>
      </c>
      <c r="H205" s="18">
        <f>F205*(B205-C205)/100</f>
        <v>1444800</v>
      </c>
      <c r="I205" s="53">
        <v>0</v>
      </c>
      <c r="J205" s="53">
        <v>0</v>
      </c>
      <c r="K205" s="53">
        <v>0</v>
      </c>
      <c r="L205" s="53">
        <f>G205+H205+I205-J205+K205</f>
        <v>1444800</v>
      </c>
      <c r="N205" s="53">
        <f>L205-M205</f>
        <v>1444800</v>
      </c>
      <c r="O205" s="53">
        <v>0</v>
      </c>
      <c r="P205" s="53">
        <v>0</v>
      </c>
      <c r="Q205" s="53">
        <f>N205-O205-P205</f>
        <v>1444800</v>
      </c>
    </row>
    <row r="206" spans="1:17">
      <c r="A206" s="47" t="s">
        <v>18</v>
      </c>
      <c r="B206" s="48"/>
      <c r="C206" s="48"/>
      <c r="D206" s="43"/>
      <c r="E206" s="173"/>
      <c r="F206" s="43"/>
    </row>
    <row r="207" spans="1:17">
      <c r="A207" s="67" t="s">
        <v>19</v>
      </c>
      <c r="B207" s="48">
        <f t="shared" si="74"/>
        <v>0.2064</v>
      </c>
      <c r="C207" s="48">
        <f t="shared" si="74"/>
        <v>0</v>
      </c>
      <c r="D207" s="43"/>
      <c r="E207" s="173"/>
      <c r="F207" s="43">
        <v>255718360.65000001</v>
      </c>
      <c r="G207" s="53">
        <v>128984.53</v>
      </c>
      <c r="H207" s="53">
        <v>398867.29</v>
      </c>
      <c r="I207" s="53">
        <v>0</v>
      </c>
      <c r="J207" s="53">
        <v>23819.06</v>
      </c>
      <c r="K207" s="53">
        <v>0</v>
      </c>
      <c r="L207" s="53">
        <f>G207+H207+I207-J207+K207</f>
        <v>504032.75999999995</v>
      </c>
      <c r="M207" s="53">
        <v>2665.5</v>
      </c>
      <c r="N207" s="53">
        <f>L207-M207</f>
        <v>501367.25999999995</v>
      </c>
      <c r="O207" s="53">
        <v>0</v>
      </c>
      <c r="P207" s="53">
        <v>7751.86</v>
      </c>
      <c r="Q207" s="53">
        <f>N207-O207-P207</f>
        <v>493615.39999999997</v>
      </c>
    </row>
    <row r="208" spans="1:17">
      <c r="A208" s="67" t="s">
        <v>20</v>
      </c>
      <c r="B208" s="48">
        <f t="shared" si="74"/>
        <v>0.2064</v>
      </c>
      <c r="C208" s="48">
        <f t="shared" si="74"/>
        <v>0</v>
      </c>
      <c r="D208" s="43"/>
      <c r="E208" s="173"/>
      <c r="F208" s="43">
        <v>4958392.0599999996</v>
      </c>
      <c r="G208" s="53">
        <v>9818.43</v>
      </c>
      <c r="H208" s="53">
        <v>415.52</v>
      </c>
      <c r="I208" s="53">
        <v>0</v>
      </c>
      <c r="J208" s="53">
        <v>0</v>
      </c>
      <c r="K208" s="53">
        <v>0</v>
      </c>
      <c r="L208" s="53">
        <f>G208+H208+I208-J208+K208</f>
        <v>10233.950000000001</v>
      </c>
      <c r="M208" s="53">
        <v>0.14000000000000001</v>
      </c>
      <c r="N208" s="53">
        <f>L208-M208</f>
        <v>10233.810000000001</v>
      </c>
      <c r="O208" s="53">
        <v>0</v>
      </c>
      <c r="P208" s="53">
        <v>100.95</v>
      </c>
      <c r="Q208" s="53">
        <f>N208-O208-P208</f>
        <v>10132.86</v>
      </c>
    </row>
    <row r="209" spans="1:17">
      <c r="A209" s="47"/>
      <c r="B209" s="48"/>
      <c r="C209" s="48"/>
      <c r="D209" s="43"/>
      <c r="E209" s="173"/>
      <c r="F209" s="43"/>
    </row>
    <row r="210" spans="1:17" s="50" customFormat="1" ht="13.5" thickBot="1">
      <c r="A210" s="160" t="str">
        <f>"TOTAL "&amp; A201</f>
        <v>TOTAL ENTERPRISE TOWN</v>
      </c>
      <c r="B210" s="68">
        <f>B203</f>
        <v>0.2064</v>
      </c>
      <c r="C210" s="68">
        <f>C203</f>
        <v>0</v>
      </c>
      <c r="D210" s="69">
        <f t="shared" ref="D210:Q210" si="75">SUM(D203:D205,D207:D208)</f>
        <v>96819</v>
      </c>
      <c r="E210" s="204"/>
      <c r="F210" s="69">
        <f t="shared" si="75"/>
        <v>20888413960.655739</v>
      </c>
      <c r="G210" s="70">
        <f t="shared" si="75"/>
        <v>906610.96</v>
      </c>
      <c r="H210" s="70">
        <f t="shared" si="75"/>
        <v>42201789.600000001</v>
      </c>
      <c r="I210" s="70">
        <f t="shared" si="75"/>
        <v>0</v>
      </c>
      <c r="J210" s="70">
        <f t="shared" si="75"/>
        <v>2709794.5300000003</v>
      </c>
      <c r="K210" s="70">
        <f t="shared" si="75"/>
        <v>0</v>
      </c>
      <c r="L210" s="70">
        <f t="shared" si="75"/>
        <v>40398606.030000001</v>
      </c>
      <c r="M210" s="70">
        <f t="shared" si="75"/>
        <v>8697395.4400000013</v>
      </c>
      <c r="N210" s="70">
        <f t="shared" si="75"/>
        <v>31701210.590000004</v>
      </c>
      <c r="O210" s="70">
        <f t="shared" si="75"/>
        <v>0</v>
      </c>
      <c r="P210" s="70">
        <f t="shared" si="75"/>
        <v>7852.8099999999995</v>
      </c>
      <c r="Q210" s="70">
        <f t="shared" si="75"/>
        <v>31693357.780000001</v>
      </c>
    </row>
    <row r="211" spans="1:17">
      <c r="A211" s="150" t="s">
        <v>355</v>
      </c>
      <c r="B211" s="48"/>
      <c r="C211" s="48"/>
      <c r="D211" s="43"/>
      <c r="E211" s="173"/>
      <c r="F211" s="64">
        <v>19513977010</v>
      </c>
    </row>
    <row r="212" spans="1:17">
      <c r="A212" s="151" t="s">
        <v>30</v>
      </c>
      <c r="B212" s="51"/>
      <c r="C212" s="51"/>
      <c r="D212" s="52"/>
      <c r="E212" s="203"/>
      <c r="F212" s="152">
        <f>(F210-ROUND(J203/B203*100,0))-F211</f>
        <v>73092246.655738831</v>
      </c>
    </row>
    <row r="213" spans="1:17">
      <c r="A213" s="54" t="s">
        <v>321</v>
      </c>
      <c r="B213" s="50"/>
      <c r="C213" s="50"/>
      <c r="D213" s="50"/>
      <c r="E213" s="203"/>
      <c r="F213" s="50"/>
      <c r="G213" s="59"/>
    </row>
    <row r="214" spans="1:17">
      <c r="A214" s="50"/>
      <c r="E214" s="65">
        <v>200000</v>
      </c>
    </row>
    <row r="215" spans="1:17">
      <c r="A215" s="49" t="s">
        <v>15</v>
      </c>
      <c r="B215" s="48">
        <v>0.02</v>
      </c>
      <c r="C215" s="48">
        <v>0</v>
      </c>
      <c r="D215" s="43">
        <v>607</v>
      </c>
      <c r="E215" s="223">
        <f>G215/B215*100</f>
        <v>0</v>
      </c>
      <c r="F215" s="43">
        <v>62559817</v>
      </c>
      <c r="G215" s="53">
        <v>0</v>
      </c>
      <c r="H215" s="53">
        <v>12511.880000000001</v>
      </c>
      <c r="I215" s="53">
        <v>0</v>
      </c>
      <c r="J215" s="53">
        <v>2197.5300000000002</v>
      </c>
      <c r="K215" s="53">
        <v>0</v>
      </c>
      <c r="L215" s="53">
        <f>G215+H215+I215-J215+K215</f>
        <v>10314.35</v>
      </c>
      <c r="M215" s="53">
        <v>2567.3900000000003</v>
      </c>
      <c r="N215" s="53">
        <f>L215-M215</f>
        <v>7746.96</v>
      </c>
      <c r="O215" s="53">
        <v>0</v>
      </c>
      <c r="P215" s="53">
        <v>0</v>
      </c>
      <c r="Q215" s="53">
        <f>N215-O215-P215</f>
        <v>7746.96</v>
      </c>
    </row>
    <row r="216" spans="1:17">
      <c r="A216" s="47" t="s">
        <v>16</v>
      </c>
      <c r="B216" s="48">
        <f>B$215</f>
        <v>0.02</v>
      </c>
      <c r="C216" s="48">
        <f>C$215</f>
        <v>0</v>
      </c>
      <c r="D216" s="43"/>
      <c r="E216" s="203"/>
      <c r="F216" s="65">
        <f>IF(E214&gt;E215,E214-E215,0)</f>
        <v>200000</v>
      </c>
      <c r="G216" s="53">
        <f>F216*(B216-C216)/100</f>
        <v>40</v>
      </c>
      <c r="H216" s="18"/>
      <c r="I216" s="53">
        <f>F216*C216/100</f>
        <v>0</v>
      </c>
      <c r="L216" s="53">
        <f>G216+H216+I216-J216+K216</f>
        <v>40</v>
      </c>
      <c r="N216" s="53">
        <f>L216-M216</f>
        <v>40</v>
      </c>
      <c r="Q216" s="53">
        <f>N216-O216-P216</f>
        <v>40</v>
      </c>
    </row>
    <row r="217" spans="1:17">
      <c r="A217" s="47" t="s">
        <v>17</v>
      </c>
      <c r="B217" s="48">
        <f t="shared" ref="B217:C220" si="76">B$215</f>
        <v>0.02</v>
      </c>
      <c r="C217" s="48">
        <f t="shared" si="76"/>
        <v>0</v>
      </c>
      <c r="D217" s="43"/>
      <c r="E217" s="203"/>
      <c r="F217" s="66">
        <v>2000000</v>
      </c>
      <c r="H217" s="18">
        <f>F217*(B217-C217)/100</f>
        <v>400</v>
      </c>
      <c r="I217" s="53">
        <f>F217*C217/100</f>
        <v>0</v>
      </c>
      <c r="J217" s="53">
        <v>0</v>
      </c>
      <c r="K217" s="53">
        <v>0</v>
      </c>
      <c r="L217" s="53">
        <f>G217+H217+I217-J217+K217</f>
        <v>400</v>
      </c>
      <c r="M217" s="53">
        <v>0</v>
      </c>
      <c r="N217" s="53">
        <f>L217-M217</f>
        <v>400</v>
      </c>
      <c r="O217" s="53">
        <v>0</v>
      </c>
      <c r="P217" s="53">
        <v>0</v>
      </c>
      <c r="Q217" s="53">
        <f>N217-O217-P217</f>
        <v>400</v>
      </c>
    </row>
    <row r="218" spans="1:17">
      <c r="A218" s="47" t="s">
        <v>18</v>
      </c>
      <c r="B218" s="48"/>
      <c r="C218" s="48"/>
      <c r="D218" s="43"/>
      <c r="E218" s="203"/>
      <c r="F218" s="43"/>
    </row>
    <row r="219" spans="1:17">
      <c r="A219" s="67" t="s">
        <v>19</v>
      </c>
      <c r="B219" s="48">
        <f t="shared" si="76"/>
        <v>0.02</v>
      </c>
      <c r="C219" s="48">
        <f t="shared" si="76"/>
        <v>0</v>
      </c>
      <c r="D219" s="43"/>
      <c r="E219" s="203"/>
      <c r="F219" s="43">
        <v>3198063.33</v>
      </c>
      <c r="G219" s="53">
        <v>48.98</v>
      </c>
      <c r="H219" s="53">
        <v>590.63</v>
      </c>
      <c r="I219" s="53">
        <v>0</v>
      </c>
      <c r="J219" s="53">
        <v>17.79</v>
      </c>
      <c r="K219" s="53">
        <v>0</v>
      </c>
      <c r="L219" s="53">
        <f>G219+H219+I219-J219+K219</f>
        <v>621.82000000000005</v>
      </c>
      <c r="M219" s="53">
        <v>0.01</v>
      </c>
      <c r="N219" s="53">
        <f>L219-M219</f>
        <v>621.81000000000006</v>
      </c>
      <c r="O219" s="53">
        <v>0</v>
      </c>
      <c r="P219" s="53">
        <v>11.87</v>
      </c>
      <c r="Q219" s="53">
        <f>N219-O219-P219</f>
        <v>609.94000000000005</v>
      </c>
    </row>
    <row r="220" spans="1:17">
      <c r="A220" s="67" t="s">
        <v>20</v>
      </c>
      <c r="B220" s="48">
        <f t="shared" si="76"/>
        <v>0.02</v>
      </c>
      <c r="C220" s="48">
        <f t="shared" si="76"/>
        <v>0</v>
      </c>
      <c r="D220" s="43"/>
      <c r="E220" s="203"/>
      <c r="F220" s="43">
        <v>64341.24</v>
      </c>
      <c r="G220" s="53">
        <v>12.87</v>
      </c>
      <c r="H220" s="53">
        <v>0</v>
      </c>
      <c r="I220" s="53">
        <v>0</v>
      </c>
      <c r="J220" s="53">
        <v>0</v>
      </c>
      <c r="K220" s="53">
        <v>0</v>
      </c>
      <c r="L220" s="53">
        <f>G220+H220+I220-J220+K220</f>
        <v>12.87</v>
      </c>
      <c r="M220" s="53">
        <v>0.15</v>
      </c>
      <c r="N220" s="53">
        <f>L220-M220</f>
        <v>12.719999999999999</v>
      </c>
      <c r="O220" s="53">
        <v>0</v>
      </c>
      <c r="Q220" s="53">
        <f>N220-O220-P220</f>
        <v>12.719999999999999</v>
      </c>
    </row>
    <row r="221" spans="1:17">
      <c r="A221" s="47"/>
      <c r="B221" s="48"/>
      <c r="C221" s="48"/>
      <c r="D221" s="43"/>
      <c r="E221" s="203"/>
      <c r="F221" s="43"/>
    </row>
    <row r="222" spans="1:17" s="50" customFormat="1" ht="13.5" thickBot="1">
      <c r="A222" s="160" t="str">
        <f>"TOTAL "&amp; A213</f>
        <v>TOTAL INDIAN SPRINGS TOWN</v>
      </c>
      <c r="B222" s="68">
        <f>B215</f>
        <v>0.02</v>
      </c>
      <c r="C222" s="68">
        <f>C215</f>
        <v>0</v>
      </c>
      <c r="D222" s="69">
        <f t="shared" ref="D222:Q222" si="77">SUM(D215:D217,D219:D220)</f>
        <v>607</v>
      </c>
      <c r="E222" s="204"/>
      <c r="F222" s="69">
        <f t="shared" si="77"/>
        <v>68022221.569999993</v>
      </c>
      <c r="G222" s="70">
        <f t="shared" si="77"/>
        <v>101.85</v>
      </c>
      <c r="H222" s="70">
        <f t="shared" si="77"/>
        <v>13502.51</v>
      </c>
      <c r="I222" s="70">
        <f t="shared" si="77"/>
        <v>0</v>
      </c>
      <c r="J222" s="70">
        <f t="shared" si="77"/>
        <v>2215.3200000000002</v>
      </c>
      <c r="K222" s="70">
        <f t="shared" si="77"/>
        <v>0</v>
      </c>
      <c r="L222" s="70">
        <f t="shared" si="77"/>
        <v>11389.04</v>
      </c>
      <c r="M222" s="70">
        <f t="shared" si="77"/>
        <v>2567.5500000000006</v>
      </c>
      <c r="N222" s="70">
        <f t="shared" si="77"/>
        <v>8821.49</v>
      </c>
      <c r="O222" s="70">
        <f t="shared" si="77"/>
        <v>0</v>
      </c>
      <c r="P222" s="70">
        <f t="shared" si="77"/>
        <v>11.87</v>
      </c>
      <c r="Q222" s="70">
        <f t="shared" si="77"/>
        <v>8809.619999999999</v>
      </c>
    </row>
    <row r="223" spans="1:17">
      <c r="A223" s="150" t="s">
        <v>355</v>
      </c>
      <c r="B223" s="48"/>
      <c r="C223" s="48"/>
      <c r="D223" s="43"/>
      <c r="E223" s="203"/>
      <c r="F223" s="64">
        <v>56938725</v>
      </c>
    </row>
    <row r="224" spans="1:17">
      <c r="A224" s="151" t="s">
        <v>30</v>
      </c>
      <c r="B224" s="51"/>
      <c r="C224" s="51"/>
      <c r="D224" s="52"/>
      <c r="E224" s="203"/>
      <c r="F224" s="152">
        <f>(F222-ROUND(J215/B215*100,0))-F223</f>
        <v>95846.569999992847</v>
      </c>
    </row>
    <row r="225" spans="1:17">
      <c r="A225" s="54" t="s">
        <v>322</v>
      </c>
    </row>
    <row r="226" spans="1:17">
      <c r="E226" s="65">
        <v>4000000</v>
      </c>
    </row>
    <row r="227" spans="1:17">
      <c r="A227" s="49" t="s">
        <v>15</v>
      </c>
      <c r="B227" s="48">
        <v>0.84160000000000001</v>
      </c>
      <c r="C227" s="48">
        <v>0</v>
      </c>
      <c r="D227" s="43">
        <v>4165</v>
      </c>
      <c r="E227" s="173">
        <f>G227/B227*100</f>
        <v>0</v>
      </c>
      <c r="F227" s="43">
        <v>641264204</v>
      </c>
      <c r="G227" s="53">
        <v>0</v>
      </c>
      <c r="H227" s="53">
        <v>5396870.6100000003</v>
      </c>
      <c r="I227" s="53">
        <v>0</v>
      </c>
      <c r="J227" s="53">
        <v>801071.91</v>
      </c>
      <c r="K227" s="53">
        <v>0</v>
      </c>
      <c r="L227" s="53">
        <f>G227+H227+I227-J227+K227</f>
        <v>4595798.7</v>
      </c>
      <c r="M227" s="53">
        <v>990434.89999999991</v>
      </c>
      <c r="N227" s="53">
        <f>L227-M227</f>
        <v>3605363.8000000003</v>
      </c>
      <c r="O227" s="53">
        <v>0</v>
      </c>
      <c r="P227" s="53">
        <v>0</v>
      </c>
      <c r="Q227" s="53">
        <f>N227-O227-P227</f>
        <v>3605363.8000000003</v>
      </c>
    </row>
    <row r="228" spans="1:17">
      <c r="A228" s="47" t="s">
        <v>16</v>
      </c>
      <c r="B228" s="48">
        <f>B$227</f>
        <v>0.84160000000000001</v>
      </c>
      <c r="C228" s="48">
        <f>C$227</f>
        <v>0</v>
      </c>
      <c r="D228" s="43"/>
      <c r="E228" s="173"/>
      <c r="F228" s="65">
        <f>IF(E226&gt;E227,E226-E227,0)</f>
        <v>4000000</v>
      </c>
      <c r="G228" s="53">
        <f>F228*(B228-C228)/100</f>
        <v>33664</v>
      </c>
      <c r="I228" s="53">
        <f>F228*C228/100</f>
        <v>0</v>
      </c>
      <c r="L228" s="53">
        <f>G228+H228+I228-J228+K228</f>
        <v>33664</v>
      </c>
      <c r="N228" s="53">
        <f>L228-M228</f>
        <v>33664</v>
      </c>
      <c r="Q228" s="53">
        <f>N228-O228-P228</f>
        <v>33664</v>
      </c>
    </row>
    <row r="229" spans="1:17">
      <c r="A229" s="47" t="s">
        <v>17</v>
      </c>
      <c r="B229" s="48">
        <f t="shared" ref="B229:C232" si="78">B$227</f>
        <v>0.84160000000000001</v>
      </c>
      <c r="C229" s="48">
        <f t="shared" si="78"/>
        <v>0</v>
      </c>
      <c r="D229" s="43"/>
      <c r="E229" s="173"/>
      <c r="F229" s="66">
        <v>35000000</v>
      </c>
      <c r="H229" s="53">
        <f>F229*(B229-C229)/100</f>
        <v>294560</v>
      </c>
      <c r="I229" s="53">
        <f>F229*C229/100</f>
        <v>0</v>
      </c>
      <c r="K229" s="53">
        <v>0</v>
      </c>
      <c r="L229" s="53">
        <f>G229+H229+I229-J229+K229</f>
        <v>294560</v>
      </c>
      <c r="M229" s="53">
        <v>0</v>
      </c>
      <c r="N229" s="53">
        <f>L229-M229</f>
        <v>294560</v>
      </c>
      <c r="O229" s="53">
        <v>0</v>
      </c>
      <c r="P229" s="53">
        <v>0</v>
      </c>
      <c r="Q229" s="53">
        <f>N229-O229-P229</f>
        <v>294560</v>
      </c>
    </row>
    <row r="230" spans="1:17">
      <c r="A230" s="47" t="s">
        <v>18</v>
      </c>
      <c r="B230" s="48"/>
      <c r="C230" s="48"/>
      <c r="D230" s="43"/>
      <c r="E230" s="173"/>
      <c r="F230" s="43"/>
    </row>
    <row r="231" spans="1:17">
      <c r="A231" s="67" t="s">
        <v>19</v>
      </c>
      <c r="B231" s="48">
        <f t="shared" si="78"/>
        <v>0.84160000000000001</v>
      </c>
      <c r="C231" s="48">
        <f t="shared" si="78"/>
        <v>0</v>
      </c>
      <c r="D231" s="43"/>
      <c r="E231" s="173"/>
      <c r="F231" s="43">
        <v>37156595.850000001</v>
      </c>
      <c r="G231" s="53">
        <v>30822.02</v>
      </c>
      <c r="H231" s="53">
        <v>281936.53000000003</v>
      </c>
      <c r="I231" s="53">
        <v>0</v>
      </c>
      <c r="J231" s="53">
        <v>5780.38</v>
      </c>
      <c r="K231" s="53">
        <v>0</v>
      </c>
      <c r="L231" s="53">
        <f>G231+H231+I231-J231+K231</f>
        <v>306978.17000000004</v>
      </c>
      <c r="M231" s="53">
        <v>871.24</v>
      </c>
      <c r="N231" s="53">
        <f>L231-M231</f>
        <v>306106.93000000005</v>
      </c>
      <c r="O231" s="53">
        <v>0</v>
      </c>
      <c r="P231" s="53">
        <v>2393.92</v>
      </c>
      <c r="Q231" s="53">
        <f>N231-O231-P231</f>
        <v>303713.01000000007</v>
      </c>
    </row>
    <row r="232" spans="1:17">
      <c r="A232" s="67" t="s">
        <v>20</v>
      </c>
      <c r="B232" s="48">
        <f t="shared" si="78"/>
        <v>0.84160000000000001</v>
      </c>
      <c r="C232" s="48">
        <f t="shared" si="78"/>
        <v>0</v>
      </c>
      <c r="D232" s="43"/>
      <c r="E232" s="173"/>
      <c r="F232" s="43">
        <v>762500.57</v>
      </c>
      <c r="G232" s="53">
        <v>6350.46</v>
      </c>
      <c r="H232" s="53">
        <v>66.709999999999994</v>
      </c>
      <c r="I232" s="53">
        <v>0</v>
      </c>
      <c r="J232" s="53">
        <v>0</v>
      </c>
      <c r="K232" s="53">
        <v>0</v>
      </c>
      <c r="L232" s="53">
        <f>G232+H232+I232-J232+K232</f>
        <v>6417.17</v>
      </c>
      <c r="N232" s="53">
        <f>L232-M232</f>
        <v>6417.17</v>
      </c>
      <c r="O232" s="53">
        <v>0</v>
      </c>
      <c r="P232" s="53">
        <v>31.18</v>
      </c>
      <c r="Q232" s="53">
        <f>N232-O232-P232</f>
        <v>6385.99</v>
      </c>
    </row>
    <row r="233" spans="1:17">
      <c r="A233" s="47"/>
      <c r="B233" s="48"/>
      <c r="C233" s="48"/>
      <c r="D233" s="43"/>
      <c r="E233" s="173"/>
      <c r="F233" s="43"/>
    </row>
    <row r="234" spans="1:17" s="50" customFormat="1" ht="13.5" thickBot="1">
      <c r="A234" s="160" t="str">
        <f>"TOTAL "&amp; A225</f>
        <v>TOTAL LAUGHLIN TOWN</v>
      </c>
      <c r="B234" s="68">
        <f>B227</f>
        <v>0.84160000000000001</v>
      </c>
      <c r="C234" s="68">
        <f>C227</f>
        <v>0</v>
      </c>
      <c r="D234" s="69">
        <f t="shared" ref="D234:Q234" si="79">SUM(D227:D229,D231:D232)</f>
        <v>4165</v>
      </c>
      <c r="E234" s="204"/>
      <c r="F234" s="69">
        <f t="shared" si="79"/>
        <v>718183300.42000008</v>
      </c>
      <c r="G234" s="70">
        <f t="shared" si="79"/>
        <v>70836.48000000001</v>
      </c>
      <c r="H234" s="70">
        <f t="shared" si="79"/>
        <v>5973433.8500000006</v>
      </c>
      <c r="I234" s="70">
        <f t="shared" si="79"/>
        <v>0</v>
      </c>
      <c r="J234" s="70">
        <f t="shared" si="79"/>
        <v>806852.29</v>
      </c>
      <c r="K234" s="70">
        <f t="shared" si="79"/>
        <v>0</v>
      </c>
      <c r="L234" s="70">
        <f t="shared" si="79"/>
        <v>5237418.04</v>
      </c>
      <c r="M234" s="70">
        <f t="shared" si="79"/>
        <v>991306.1399999999</v>
      </c>
      <c r="N234" s="70">
        <f t="shared" si="79"/>
        <v>4246111.9000000004</v>
      </c>
      <c r="O234" s="70">
        <f>SUM(O227:O229,O231:O232)</f>
        <v>0</v>
      </c>
      <c r="P234" s="70">
        <f t="shared" si="79"/>
        <v>2425.1</v>
      </c>
      <c r="Q234" s="70">
        <f t="shared" si="79"/>
        <v>4243686.8000000007</v>
      </c>
    </row>
    <row r="235" spans="1:17">
      <c r="A235" s="150" t="s">
        <v>355</v>
      </c>
      <c r="B235" s="48"/>
      <c r="C235" s="48"/>
      <c r="D235" s="43"/>
      <c r="E235" s="173"/>
      <c r="F235" s="64">
        <v>622258269</v>
      </c>
    </row>
    <row r="236" spans="1:17">
      <c r="A236" s="151" t="s">
        <v>30</v>
      </c>
      <c r="B236" s="51"/>
      <c r="C236" s="51"/>
      <c r="D236" s="52"/>
      <c r="E236" s="203"/>
      <c r="F236" s="152">
        <f>(F234-ROUND(J227/B227*100,0))-F235</f>
        <v>740631.42000007629</v>
      </c>
    </row>
    <row r="237" spans="1:17">
      <c r="A237" s="54" t="s">
        <v>323</v>
      </c>
      <c r="B237" s="50"/>
      <c r="C237" s="50"/>
      <c r="D237" s="50"/>
      <c r="E237" s="211"/>
      <c r="F237" s="50"/>
      <c r="G237" s="59"/>
    </row>
    <row r="238" spans="1:17">
      <c r="E238" s="65">
        <v>200000</v>
      </c>
    </row>
    <row r="239" spans="1:17">
      <c r="A239" s="49" t="s">
        <v>15</v>
      </c>
      <c r="B239" s="48">
        <v>0.02</v>
      </c>
      <c r="C239" s="48">
        <v>0</v>
      </c>
      <c r="D239" s="43">
        <v>1236</v>
      </c>
      <c r="E239" s="173">
        <f>G239/B239*100</f>
        <v>0</v>
      </c>
      <c r="F239" s="43">
        <v>107580505</v>
      </c>
      <c r="G239" s="53">
        <v>0</v>
      </c>
      <c r="H239" s="53">
        <v>21515.48</v>
      </c>
      <c r="I239" s="53">
        <v>0</v>
      </c>
      <c r="J239" s="53">
        <v>14081.51</v>
      </c>
      <c r="K239" s="53">
        <v>0</v>
      </c>
      <c r="L239" s="53">
        <f>G239+H239+I239-J239+K239</f>
        <v>7433.9699999999993</v>
      </c>
      <c r="M239" s="53">
        <v>1020.4300000000001</v>
      </c>
      <c r="N239" s="53">
        <f>L239-M239</f>
        <v>6413.5399999999991</v>
      </c>
      <c r="O239" s="53">
        <v>0</v>
      </c>
      <c r="P239" s="53">
        <v>0</v>
      </c>
      <c r="Q239" s="53">
        <f>N239-O239-P239</f>
        <v>6413.5399999999991</v>
      </c>
    </row>
    <row r="240" spans="1:17">
      <c r="A240" s="47" t="s">
        <v>16</v>
      </c>
      <c r="B240" s="48">
        <f>B$239</f>
        <v>0.02</v>
      </c>
      <c r="C240" s="48">
        <f>C$239</f>
        <v>0</v>
      </c>
      <c r="D240" s="43"/>
      <c r="E240" s="173"/>
      <c r="F240" s="65">
        <f>IF(E238&gt;E239,E238-E239,0)</f>
        <v>200000</v>
      </c>
      <c r="G240" s="53">
        <f>F240*(B240-C240)/100</f>
        <v>40</v>
      </c>
      <c r="I240" s="53">
        <f>F240*C240/100</f>
        <v>0</v>
      </c>
      <c r="L240" s="53">
        <f>G240+H240+I240-J240+K240</f>
        <v>40</v>
      </c>
      <c r="N240" s="53">
        <f>L240-M240</f>
        <v>40</v>
      </c>
      <c r="Q240" s="53">
        <f>N240-O240-P240</f>
        <v>40</v>
      </c>
    </row>
    <row r="241" spans="1:17">
      <c r="A241" s="47" t="s">
        <v>17</v>
      </c>
      <c r="B241" s="48">
        <f t="shared" ref="B241:C244" si="80">B$239</f>
        <v>0.02</v>
      </c>
      <c r="C241" s="48">
        <f t="shared" si="80"/>
        <v>0</v>
      </c>
      <c r="D241" s="43"/>
      <c r="E241" s="173"/>
      <c r="F241" s="66">
        <v>3000000</v>
      </c>
      <c r="H241" s="53">
        <f>F241*(B241-C241)/100</f>
        <v>600</v>
      </c>
      <c r="I241" s="53">
        <f>F241*C241/100</f>
        <v>0</v>
      </c>
      <c r="J241" s="53">
        <v>0</v>
      </c>
      <c r="K241" s="53">
        <v>0</v>
      </c>
      <c r="L241" s="53">
        <f>G241+H241+I241-J241+K241</f>
        <v>600</v>
      </c>
      <c r="M241" s="53">
        <v>0</v>
      </c>
      <c r="N241" s="53">
        <f>L241-M241</f>
        <v>600</v>
      </c>
      <c r="O241" s="53">
        <v>0</v>
      </c>
      <c r="P241" s="53">
        <v>0</v>
      </c>
      <c r="Q241" s="53">
        <f>N241-O241-P241</f>
        <v>600</v>
      </c>
    </row>
    <row r="242" spans="1:17">
      <c r="A242" s="47" t="s">
        <v>18</v>
      </c>
      <c r="C242" s="48"/>
      <c r="D242" s="43"/>
      <c r="E242" s="173"/>
      <c r="F242" s="43"/>
    </row>
    <row r="243" spans="1:17">
      <c r="A243" s="67" t="s">
        <v>19</v>
      </c>
      <c r="B243" s="48">
        <v>0.02</v>
      </c>
      <c r="C243" s="48">
        <f t="shared" ref="C243" si="81">C$251</f>
        <v>0</v>
      </c>
      <c r="D243" s="43"/>
      <c r="E243" s="173"/>
      <c r="F243" s="43">
        <v>43345004.350000001</v>
      </c>
      <c r="G243" s="53">
        <v>680.81</v>
      </c>
      <c r="H243" s="53">
        <v>7988.33</v>
      </c>
      <c r="I243" s="53">
        <v>0</v>
      </c>
      <c r="J243" s="53">
        <v>325.08</v>
      </c>
      <c r="K243" s="53">
        <v>0</v>
      </c>
      <c r="L243" s="53">
        <f>G243+H243+I243-J243+K243</f>
        <v>8344.06</v>
      </c>
      <c r="M243" s="53">
        <v>35.56</v>
      </c>
      <c r="N243" s="53">
        <f>L243-M243</f>
        <v>8308.5</v>
      </c>
      <c r="O243" s="53">
        <v>0</v>
      </c>
      <c r="P243" s="53">
        <v>39.82</v>
      </c>
      <c r="Q243" s="53">
        <f>N243-O243-P243</f>
        <v>8268.68</v>
      </c>
    </row>
    <row r="244" spans="1:17">
      <c r="A244" s="67" t="s">
        <v>20</v>
      </c>
      <c r="B244" s="48">
        <f t="shared" si="80"/>
        <v>0.02</v>
      </c>
      <c r="C244" s="48">
        <f t="shared" si="80"/>
        <v>0</v>
      </c>
      <c r="D244" s="43"/>
      <c r="E244" s="173"/>
      <c r="F244" s="43">
        <v>373852.66</v>
      </c>
      <c r="G244" s="53">
        <v>65.260000000000005</v>
      </c>
      <c r="H244" s="53">
        <v>9.33</v>
      </c>
      <c r="I244" s="53">
        <v>0</v>
      </c>
      <c r="J244" s="53">
        <v>0</v>
      </c>
      <c r="K244" s="53">
        <v>0</v>
      </c>
      <c r="L244" s="53">
        <f>G244+H244+I244-J244+K244</f>
        <v>74.59</v>
      </c>
      <c r="M244" s="53">
        <v>0.03</v>
      </c>
      <c r="N244" s="53">
        <f>L244-M244</f>
        <v>74.56</v>
      </c>
      <c r="O244" s="53">
        <v>0</v>
      </c>
      <c r="P244" s="53">
        <v>0.53</v>
      </c>
      <c r="Q244" s="53">
        <f>N244-O244-P244</f>
        <v>74.03</v>
      </c>
    </row>
    <row r="245" spans="1:17">
      <c r="A245" s="47"/>
      <c r="B245" s="48"/>
      <c r="C245" s="48"/>
      <c r="D245" s="43"/>
      <c r="E245" s="173"/>
      <c r="F245" s="43"/>
    </row>
    <row r="246" spans="1:17" s="50" customFormat="1" ht="13.5" thickBot="1">
      <c r="A246" s="160" t="str">
        <f>"TOTAL "&amp; A237</f>
        <v>TOTAL MOAPA TOWN</v>
      </c>
      <c r="B246" s="68">
        <f>B239</f>
        <v>0.02</v>
      </c>
      <c r="C246" s="68">
        <f>C239</f>
        <v>0</v>
      </c>
      <c r="D246" s="69">
        <f t="shared" ref="D246:Q246" si="82">SUM(D239:D241,D243:D244)</f>
        <v>1236</v>
      </c>
      <c r="E246" s="204"/>
      <c r="F246" s="69">
        <f t="shared" si="82"/>
        <v>154499362.00999999</v>
      </c>
      <c r="G246" s="70">
        <f t="shared" si="82"/>
        <v>786.06999999999994</v>
      </c>
      <c r="H246" s="70">
        <f t="shared" si="82"/>
        <v>30113.14</v>
      </c>
      <c r="I246" s="70">
        <f t="shared" si="82"/>
        <v>0</v>
      </c>
      <c r="J246" s="70">
        <f t="shared" si="82"/>
        <v>14406.59</v>
      </c>
      <c r="K246" s="70">
        <f t="shared" si="82"/>
        <v>0</v>
      </c>
      <c r="L246" s="70">
        <f t="shared" si="82"/>
        <v>16492.62</v>
      </c>
      <c r="M246" s="70">
        <f t="shared" si="82"/>
        <v>1056.02</v>
      </c>
      <c r="N246" s="70">
        <f t="shared" si="82"/>
        <v>15436.599999999999</v>
      </c>
      <c r="O246" s="70">
        <f t="shared" si="82"/>
        <v>0</v>
      </c>
      <c r="P246" s="70">
        <f t="shared" si="82"/>
        <v>40.35</v>
      </c>
      <c r="Q246" s="70">
        <f t="shared" si="82"/>
        <v>15396.25</v>
      </c>
    </row>
    <row r="247" spans="1:17">
      <c r="A247" s="150" t="s">
        <v>355</v>
      </c>
      <c r="B247" s="48"/>
      <c r="C247" s="48"/>
      <c r="D247" s="43"/>
      <c r="E247" s="173"/>
      <c r="F247" s="64">
        <v>82382940</v>
      </c>
    </row>
    <row r="248" spans="1:17">
      <c r="A248" s="151" t="s">
        <v>30</v>
      </c>
      <c r="B248" s="51"/>
      <c r="C248" s="51"/>
      <c r="D248" s="52"/>
      <c r="E248" s="203"/>
      <c r="F248" s="152">
        <f>(F246-ROUND(J239/B239*100,0))-F247</f>
        <v>1708872.0099999905</v>
      </c>
    </row>
    <row r="249" spans="1:17">
      <c r="A249" s="54" t="s">
        <v>324</v>
      </c>
    </row>
    <row r="250" spans="1:17">
      <c r="A250" s="83"/>
      <c r="B250" s="85"/>
      <c r="C250" s="85"/>
      <c r="D250" s="85"/>
      <c r="E250" s="65">
        <v>1000000</v>
      </c>
      <c r="F250" s="85"/>
      <c r="G250" s="86"/>
    </row>
    <row r="251" spans="1:17">
      <c r="A251" s="49" t="s">
        <v>15</v>
      </c>
      <c r="B251" s="48">
        <v>0.02</v>
      </c>
      <c r="C251" s="48">
        <v>0</v>
      </c>
      <c r="D251" s="43">
        <v>4806</v>
      </c>
      <c r="E251" s="173">
        <f>G251/B251*100</f>
        <v>46900.000000000007</v>
      </c>
      <c r="F251" s="43">
        <v>316146194</v>
      </c>
      <c r="G251" s="53">
        <v>9.3800000000000008</v>
      </c>
      <c r="H251" s="53">
        <v>63218.92</v>
      </c>
      <c r="I251" s="53">
        <v>0</v>
      </c>
      <c r="J251" s="53">
        <v>13706.9</v>
      </c>
      <c r="K251" s="53">
        <v>0</v>
      </c>
      <c r="L251" s="53">
        <f>G251+H251+I251-J251+K251</f>
        <v>49521.399999999994</v>
      </c>
      <c r="M251" s="53">
        <v>9518.4700000000012</v>
      </c>
      <c r="N251" s="53">
        <f>L251-M251</f>
        <v>40002.929999999993</v>
      </c>
      <c r="O251" s="53">
        <v>0</v>
      </c>
      <c r="P251" s="53">
        <v>0</v>
      </c>
      <c r="Q251" s="53">
        <f>N251-O251-P251</f>
        <v>40002.929999999993</v>
      </c>
    </row>
    <row r="252" spans="1:17">
      <c r="A252" s="47" t="s">
        <v>16</v>
      </c>
      <c r="B252" s="48">
        <f>B$251</f>
        <v>0.02</v>
      </c>
      <c r="C252" s="48">
        <f>C$251</f>
        <v>0</v>
      </c>
      <c r="D252" s="43"/>
      <c r="E252" s="173"/>
      <c r="F252" s="65">
        <f>IF(E250&gt;E251,E250-E251,0)</f>
        <v>953100</v>
      </c>
      <c r="G252" s="53">
        <f>F252*(B252-C252)/100</f>
        <v>190.62</v>
      </c>
      <c r="I252" s="53">
        <f>F252*C252/100</f>
        <v>0</v>
      </c>
      <c r="L252" s="53">
        <f>G252+H252+I252-J252+K252</f>
        <v>190.62</v>
      </c>
      <c r="N252" s="53">
        <f>L252-M252</f>
        <v>190.62</v>
      </c>
      <c r="Q252" s="53">
        <f>N252-O252-P252</f>
        <v>190.62</v>
      </c>
    </row>
    <row r="253" spans="1:17">
      <c r="A253" s="47" t="s">
        <v>17</v>
      </c>
      <c r="B253" s="48">
        <f t="shared" ref="B253:C256" si="83">B$251</f>
        <v>0.02</v>
      </c>
      <c r="C253" s="48">
        <f t="shared" si="83"/>
        <v>0</v>
      </c>
      <c r="D253" s="43"/>
      <c r="E253" s="173"/>
      <c r="F253" s="66">
        <v>11000000</v>
      </c>
      <c r="H253" s="53">
        <f>F253*(B253-C253)/100</f>
        <v>2200</v>
      </c>
      <c r="I253" s="53">
        <f>F253*C253/100</f>
        <v>0</v>
      </c>
      <c r="J253" s="53">
        <v>0</v>
      </c>
      <c r="K253" s="53">
        <v>0</v>
      </c>
      <c r="L253" s="53">
        <f>G253+H253+I253-J253+K253</f>
        <v>2200</v>
      </c>
      <c r="M253" s="53">
        <v>0</v>
      </c>
      <c r="N253" s="53">
        <f>L253-M253</f>
        <v>2200</v>
      </c>
      <c r="O253" s="53">
        <v>0</v>
      </c>
      <c r="P253" s="53">
        <v>0</v>
      </c>
      <c r="Q253" s="53">
        <f>N253-O253-P253</f>
        <v>2200</v>
      </c>
    </row>
    <row r="254" spans="1:17">
      <c r="A254" s="47" t="s">
        <v>18</v>
      </c>
      <c r="B254" s="48"/>
      <c r="C254" s="48"/>
      <c r="D254" s="43"/>
      <c r="E254" s="173"/>
      <c r="F254" s="43"/>
    </row>
    <row r="255" spans="1:17">
      <c r="A255" s="67" t="s">
        <v>19</v>
      </c>
      <c r="B255" s="48">
        <f t="shared" si="83"/>
        <v>0.02</v>
      </c>
      <c r="C255" s="48">
        <f t="shared" si="83"/>
        <v>0</v>
      </c>
      <c r="D255" s="43"/>
      <c r="E255" s="173"/>
      <c r="F255" s="43">
        <v>20348649.82</v>
      </c>
      <c r="G255" s="53">
        <v>5700.12</v>
      </c>
      <c r="H255" s="53">
        <v>1630.29</v>
      </c>
      <c r="I255" s="53">
        <v>0</v>
      </c>
      <c r="J255" s="53">
        <v>767.68</v>
      </c>
      <c r="K255" s="53">
        <v>0</v>
      </c>
      <c r="L255" s="53">
        <f>G255+H255+I255-J255+K255</f>
        <v>6562.73</v>
      </c>
      <c r="M255" s="53">
        <v>10.74</v>
      </c>
      <c r="N255" s="53">
        <f>L255-M255</f>
        <v>6551.99</v>
      </c>
      <c r="O255" s="53">
        <v>0</v>
      </c>
      <c r="P255" s="53">
        <v>0</v>
      </c>
      <c r="Q255" s="53">
        <f>N255-O255-P255</f>
        <v>6551.99</v>
      </c>
    </row>
    <row r="256" spans="1:17">
      <c r="A256" s="67" t="s">
        <v>20</v>
      </c>
      <c r="B256" s="48">
        <f t="shared" si="83"/>
        <v>0.02</v>
      </c>
      <c r="C256" s="48">
        <f t="shared" si="83"/>
        <v>0</v>
      </c>
      <c r="D256" s="43"/>
      <c r="E256" s="173"/>
      <c r="F256" s="43">
        <v>245999.07</v>
      </c>
      <c r="G256" s="53">
        <v>23.37</v>
      </c>
      <c r="H256" s="53">
        <v>25.73</v>
      </c>
      <c r="I256" s="53">
        <v>0</v>
      </c>
      <c r="K256" s="53">
        <v>0</v>
      </c>
      <c r="L256" s="53">
        <f>G256+H256+I256-J256+K256</f>
        <v>49.1</v>
      </c>
      <c r="M256" s="53">
        <v>0.01</v>
      </c>
      <c r="N256" s="53">
        <f>L256-M256</f>
        <v>49.09</v>
      </c>
      <c r="O256" s="53">
        <v>0</v>
      </c>
      <c r="P256" s="53">
        <v>0</v>
      </c>
      <c r="Q256" s="53">
        <f>N256-O256-P256</f>
        <v>49.09</v>
      </c>
    </row>
    <row r="257" spans="1:17">
      <c r="A257" s="47"/>
      <c r="B257" s="48"/>
      <c r="C257" s="48"/>
      <c r="D257" s="43"/>
      <c r="E257" s="173"/>
      <c r="F257" s="43"/>
    </row>
    <row r="258" spans="1:17" s="50" customFormat="1" ht="13.5" thickBot="1">
      <c r="A258" s="160" t="str">
        <f>"TOTAL "&amp; A249</f>
        <v>TOTAL MOAPA VALLEY TOWN</v>
      </c>
      <c r="B258" s="68">
        <f>B251</f>
        <v>0.02</v>
      </c>
      <c r="C258" s="68">
        <f>C251</f>
        <v>0</v>
      </c>
      <c r="D258" s="69">
        <f t="shared" ref="D258:Q258" si="84">SUM(D251:D253,D255:D256)</f>
        <v>4806</v>
      </c>
      <c r="E258" s="204"/>
      <c r="F258" s="69">
        <f t="shared" si="84"/>
        <v>348693942.88999999</v>
      </c>
      <c r="G258" s="70">
        <f t="shared" si="84"/>
        <v>5923.49</v>
      </c>
      <c r="H258" s="70">
        <f t="shared" si="84"/>
        <v>67074.939999999988</v>
      </c>
      <c r="I258" s="70">
        <f t="shared" si="84"/>
        <v>0</v>
      </c>
      <c r="J258" s="70">
        <f t="shared" si="84"/>
        <v>14474.58</v>
      </c>
      <c r="K258" s="70">
        <f t="shared" si="84"/>
        <v>0</v>
      </c>
      <c r="L258" s="70">
        <f t="shared" si="84"/>
        <v>58523.85</v>
      </c>
      <c r="M258" s="70">
        <f t="shared" si="84"/>
        <v>9529.2200000000012</v>
      </c>
      <c r="N258" s="70">
        <f t="shared" si="84"/>
        <v>48994.62999999999</v>
      </c>
      <c r="O258" s="70">
        <f t="shared" si="84"/>
        <v>0</v>
      </c>
      <c r="P258" s="70">
        <f t="shared" si="84"/>
        <v>0</v>
      </c>
      <c r="Q258" s="70">
        <f t="shared" si="84"/>
        <v>48994.62999999999</v>
      </c>
    </row>
    <row r="259" spans="1:17">
      <c r="A259" s="150" t="s">
        <v>355</v>
      </c>
      <c r="B259" s="48"/>
      <c r="C259" s="48"/>
      <c r="D259" s="43"/>
      <c r="E259" s="173"/>
      <c r="F259" s="64">
        <v>276048048</v>
      </c>
    </row>
    <row r="260" spans="1:17">
      <c r="A260" s="151" t="s">
        <v>30</v>
      </c>
      <c r="B260" s="51"/>
      <c r="C260" s="51"/>
      <c r="D260" s="52"/>
      <c r="E260" s="203"/>
      <c r="F260" s="152">
        <f>(F258-ROUND(J251/B251*100,0))-F259</f>
        <v>4111394.8899999857</v>
      </c>
    </row>
    <row r="261" spans="1:17">
      <c r="A261" s="54" t="s">
        <v>325</v>
      </c>
      <c r="B261" s="84"/>
      <c r="C261" s="84"/>
      <c r="D261" s="84"/>
      <c r="E261" s="210"/>
      <c r="F261" s="84"/>
      <c r="G261" s="59"/>
    </row>
    <row r="262" spans="1:17">
      <c r="E262" s="65">
        <v>200000</v>
      </c>
    </row>
    <row r="263" spans="1:17">
      <c r="A263" s="49" t="s">
        <v>15</v>
      </c>
      <c r="B263" s="48">
        <v>0.02</v>
      </c>
      <c r="C263" s="48">
        <v>0</v>
      </c>
      <c r="D263" s="43">
        <v>1061</v>
      </c>
      <c r="E263" s="173">
        <f>G263/B263*100</f>
        <v>0</v>
      </c>
      <c r="F263" s="43">
        <v>110400269</v>
      </c>
      <c r="G263" s="53">
        <v>0</v>
      </c>
      <c r="H263" s="53">
        <v>22078.329999999998</v>
      </c>
      <c r="I263" s="53">
        <v>0</v>
      </c>
      <c r="J263" s="53">
        <v>5920.68</v>
      </c>
      <c r="K263" s="53">
        <v>0</v>
      </c>
      <c r="L263" s="53">
        <f>G263+H263+I263-J263+K263</f>
        <v>16157.649999999998</v>
      </c>
      <c r="M263" s="53">
        <v>4472.5200000000004</v>
      </c>
      <c r="N263" s="53">
        <f>L263-M263</f>
        <v>11685.129999999997</v>
      </c>
      <c r="O263" s="53">
        <v>0</v>
      </c>
      <c r="P263" s="53">
        <v>0</v>
      </c>
      <c r="Q263" s="53">
        <f>N263-O263-P263</f>
        <v>11685.129999999997</v>
      </c>
    </row>
    <row r="264" spans="1:17">
      <c r="A264" s="47" t="s">
        <v>16</v>
      </c>
      <c r="B264" s="48">
        <f>B$263</f>
        <v>0.02</v>
      </c>
      <c r="C264" s="48">
        <f>C$263</f>
        <v>0</v>
      </c>
      <c r="D264" s="43"/>
      <c r="E264" s="173"/>
      <c r="F264" s="65">
        <f>IF(E262&gt;E263,E262-E263,0)</f>
        <v>200000</v>
      </c>
      <c r="G264" s="53">
        <f>F264*(B264-C264)/100</f>
        <v>40</v>
      </c>
      <c r="I264" s="53">
        <f>F264*C264/100</f>
        <v>0</v>
      </c>
      <c r="L264" s="53">
        <f>G264+H264+I264-J264+K264</f>
        <v>40</v>
      </c>
      <c r="N264" s="53">
        <f>L264-M264</f>
        <v>40</v>
      </c>
      <c r="Q264" s="53">
        <f>N264-O264-P264</f>
        <v>40</v>
      </c>
    </row>
    <row r="265" spans="1:17">
      <c r="A265" s="47" t="s">
        <v>17</v>
      </c>
      <c r="B265" s="48">
        <f t="shared" ref="B265:C268" si="85">B$263</f>
        <v>0.02</v>
      </c>
      <c r="C265" s="48">
        <f t="shared" si="85"/>
        <v>0</v>
      </c>
      <c r="D265" s="43"/>
      <c r="E265" s="173"/>
      <c r="F265" s="66">
        <v>1000000</v>
      </c>
      <c r="H265" s="53">
        <f>F265*(B265-C265)/100</f>
        <v>200</v>
      </c>
      <c r="I265" s="53">
        <f>F265*C265/100</f>
        <v>0</v>
      </c>
      <c r="J265" s="53">
        <v>0</v>
      </c>
      <c r="K265" s="53">
        <v>0</v>
      </c>
      <c r="L265" s="53">
        <f>G265+H265+I265-J265+K265</f>
        <v>200</v>
      </c>
      <c r="M265" s="53">
        <v>0</v>
      </c>
      <c r="N265" s="53">
        <f>L265-M265</f>
        <v>200</v>
      </c>
      <c r="O265" s="53">
        <v>0</v>
      </c>
      <c r="P265" s="53">
        <v>0</v>
      </c>
      <c r="Q265" s="53">
        <f>N265-O265-P265</f>
        <v>200</v>
      </c>
    </row>
    <row r="266" spans="1:17">
      <c r="A266" s="47" t="s">
        <v>18</v>
      </c>
      <c r="B266" s="48"/>
      <c r="C266" s="48"/>
      <c r="D266" s="43"/>
      <c r="E266" s="173"/>
      <c r="F266" s="43"/>
    </row>
    <row r="267" spans="1:17">
      <c r="A267" s="67" t="s">
        <v>19</v>
      </c>
      <c r="B267" s="48">
        <f t="shared" si="85"/>
        <v>0.02</v>
      </c>
      <c r="C267" s="48">
        <f t="shared" si="85"/>
        <v>0</v>
      </c>
      <c r="D267" s="43"/>
      <c r="E267" s="173"/>
      <c r="F267" s="43">
        <v>2622515.1800000002</v>
      </c>
      <c r="G267" s="53">
        <v>41.7</v>
      </c>
      <c r="H267" s="53">
        <v>482.8</v>
      </c>
      <c r="I267" s="53">
        <v>0</v>
      </c>
      <c r="J267" s="53">
        <v>14.38</v>
      </c>
      <c r="K267" s="53">
        <v>0</v>
      </c>
      <c r="L267" s="53">
        <f>G267+H267+I267-J267+K267</f>
        <v>510.12</v>
      </c>
      <c r="M267" s="53">
        <v>0</v>
      </c>
      <c r="N267" s="53">
        <f>L267-M267</f>
        <v>510.12</v>
      </c>
      <c r="O267" s="53">
        <v>0</v>
      </c>
      <c r="P267" s="53">
        <v>10.1</v>
      </c>
      <c r="Q267" s="53">
        <f>N267-O267-P267</f>
        <v>500.02</v>
      </c>
    </row>
    <row r="268" spans="1:17">
      <c r="A268" s="67" t="s">
        <v>20</v>
      </c>
      <c r="B268" s="48">
        <f t="shared" si="85"/>
        <v>0.02</v>
      </c>
      <c r="C268" s="48">
        <f t="shared" si="85"/>
        <v>0</v>
      </c>
      <c r="D268" s="43"/>
      <c r="E268" s="173"/>
      <c r="F268" s="43">
        <v>35086.089999999997</v>
      </c>
      <c r="G268" s="53">
        <v>7.02</v>
      </c>
      <c r="I268" s="53">
        <v>0</v>
      </c>
      <c r="J268" s="53">
        <v>0</v>
      </c>
      <c r="K268" s="53">
        <v>0</v>
      </c>
      <c r="L268" s="53">
        <f>G268+H268+I268-J268+K268</f>
        <v>7.02</v>
      </c>
      <c r="M268" s="53">
        <v>0</v>
      </c>
      <c r="N268" s="53">
        <f>L268-M268</f>
        <v>7.02</v>
      </c>
      <c r="O268" s="53">
        <v>0</v>
      </c>
      <c r="P268" s="53">
        <v>0.13</v>
      </c>
      <c r="Q268" s="53">
        <f>N268-O268-P268</f>
        <v>6.89</v>
      </c>
    </row>
    <row r="269" spans="1:17">
      <c r="A269" s="47"/>
      <c r="B269" s="48"/>
      <c r="C269" s="48"/>
      <c r="D269" s="43"/>
      <c r="E269" s="173"/>
      <c r="F269" s="43"/>
    </row>
    <row r="270" spans="1:17" s="50" customFormat="1" ht="13.5" thickBot="1">
      <c r="A270" s="160" t="str">
        <f>"TOTAL "&amp; A261</f>
        <v>TOTAL MT CHARLESTON TOWN</v>
      </c>
      <c r="B270" s="68">
        <f>B263</f>
        <v>0.02</v>
      </c>
      <c r="C270" s="68">
        <f>C263</f>
        <v>0</v>
      </c>
      <c r="D270" s="69">
        <f t="shared" ref="D270:Q270" si="86">SUM(D263:D265,D267:D268)</f>
        <v>1061</v>
      </c>
      <c r="E270" s="204"/>
      <c r="F270" s="69">
        <f t="shared" si="86"/>
        <v>114257870.27000001</v>
      </c>
      <c r="G270" s="70">
        <f t="shared" si="86"/>
        <v>88.72</v>
      </c>
      <c r="H270" s="70">
        <f t="shared" si="86"/>
        <v>22761.129999999997</v>
      </c>
      <c r="I270" s="70">
        <f t="shared" si="86"/>
        <v>0</v>
      </c>
      <c r="J270" s="70">
        <f t="shared" si="86"/>
        <v>5935.06</v>
      </c>
      <c r="K270" s="70">
        <f t="shared" si="86"/>
        <v>0</v>
      </c>
      <c r="L270" s="70">
        <f t="shared" si="86"/>
        <v>16914.789999999997</v>
      </c>
      <c r="M270" s="70">
        <f t="shared" si="86"/>
        <v>4472.5200000000004</v>
      </c>
      <c r="N270" s="70">
        <f t="shared" si="86"/>
        <v>12442.269999999999</v>
      </c>
      <c r="O270" s="70">
        <f t="shared" si="86"/>
        <v>0</v>
      </c>
      <c r="P270" s="70">
        <f t="shared" si="86"/>
        <v>10.23</v>
      </c>
      <c r="Q270" s="70">
        <f t="shared" si="86"/>
        <v>12432.039999999997</v>
      </c>
    </row>
    <row r="271" spans="1:17">
      <c r="A271" s="150" t="s">
        <v>355</v>
      </c>
      <c r="B271" s="48"/>
      <c r="C271" s="48"/>
      <c r="D271" s="43"/>
      <c r="E271" s="173"/>
      <c r="F271" s="64">
        <v>83979275</v>
      </c>
    </row>
    <row r="272" spans="1:17">
      <c r="A272" s="151" t="s">
        <v>30</v>
      </c>
      <c r="B272" s="51"/>
      <c r="C272" s="51"/>
      <c r="D272" s="52"/>
      <c r="E272" s="203"/>
      <c r="F272" s="152">
        <f>(F270-ROUND(J263/B263,0))-F271</f>
        <v>29982561.270000011</v>
      </c>
    </row>
    <row r="273" spans="1:17">
      <c r="A273" s="54" t="s">
        <v>326</v>
      </c>
    </row>
    <row r="274" spans="1:17">
      <c r="E274" s="65">
        <v>400000000</v>
      </c>
    </row>
    <row r="275" spans="1:17">
      <c r="A275" s="49" t="s">
        <v>15</v>
      </c>
      <c r="B275" s="48">
        <v>0.2064</v>
      </c>
      <c r="C275" s="48">
        <v>0</v>
      </c>
      <c r="D275" s="43">
        <v>63460</v>
      </c>
      <c r="E275" s="173">
        <f>G275/B275*100</f>
        <v>20836434.108527131</v>
      </c>
      <c r="F275" s="43">
        <v>25247765482</v>
      </c>
      <c r="G275" s="53">
        <v>43006.400000000001</v>
      </c>
      <c r="H275" s="53">
        <v>51974614.049999997</v>
      </c>
      <c r="I275" s="53">
        <v>0</v>
      </c>
      <c r="J275" s="53">
        <v>4952397.41</v>
      </c>
      <c r="K275" s="53">
        <v>0</v>
      </c>
      <c r="L275" s="53">
        <f>G275+H275+I275-J275+K275</f>
        <v>47065223.039999992</v>
      </c>
      <c r="M275" s="53">
        <v>8360019.7200000007</v>
      </c>
      <c r="N275" s="53">
        <f>L275-M275</f>
        <v>38705203.319999993</v>
      </c>
      <c r="O275" s="53">
        <v>0</v>
      </c>
      <c r="P275" s="53">
        <v>0</v>
      </c>
      <c r="Q275" s="53">
        <f>N275-O275-P275</f>
        <v>38705203.319999993</v>
      </c>
    </row>
    <row r="276" spans="1:17">
      <c r="A276" s="47" t="s">
        <v>16</v>
      </c>
      <c r="B276" s="48">
        <f>B$275</f>
        <v>0.2064</v>
      </c>
      <c r="C276" s="48">
        <f>C$275</f>
        <v>0</v>
      </c>
      <c r="D276" s="43"/>
      <c r="E276" s="173"/>
      <c r="F276" s="65">
        <f>IF(E274&gt;E275,E274-E275,0)</f>
        <v>379163565.89147288</v>
      </c>
      <c r="G276" s="53">
        <f>F276*(B276-C276)/100</f>
        <v>782593.6</v>
      </c>
      <c r="I276" s="53">
        <f>F276*C276/100</f>
        <v>0</v>
      </c>
      <c r="L276" s="53">
        <f>G276+H276+I276-J276+K276</f>
        <v>782593.6</v>
      </c>
      <c r="N276" s="53">
        <f>L276-M276</f>
        <v>782593.6</v>
      </c>
      <c r="Q276" s="53">
        <f>N276-O276-P276</f>
        <v>782593.6</v>
      </c>
    </row>
    <row r="277" spans="1:17">
      <c r="A277" s="47" t="s">
        <v>17</v>
      </c>
      <c r="B277" s="48">
        <f t="shared" ref="B277:C280" si="87">B$275</f>
        <v>0.2064</v>
      </c>
      <c r="C277" s="48">
        <f t="shared" si="87"/>
        <v>0</v>
      </c>
      <c r="D277" s="43"/>
      <c r="E277" s="173"/>
      <c r="F277" s="66">
        <v>2000000000</v>
      </c>
      <c r="H277" s="53">
        <f>F277*(B277-C277)/100</f>
        <v>4128000</v>
      </c>
      <c r="I277" s="53">
        <f>F277*C277/100</f>
        <v>0</v>
      </c>
      <c r="J277" s="53">
        <v>0</v>
      </c>
      <c r="K277" s="53">
        <v>0</v>
      </c>
      <c r="L277" s="53">
        <f>G277+H277+I277-J277+K277</f>
        <v>4128000</v>
      </c>
      <c r="M277" s="53">
        <v>0</v>
      </c>
      <c r="N277" s="53">
        <f>L277-M277</f>
        <v>4128000</v>
      </c>
      <c r="O277" s="53">
        <v>0</v>
      </c>
      <c r="P277" s="53">
        <v>0</v>
      </c>
      <c r="Q277" s="53">
        <f>N277-O277-P277</f>
        <v>4128000</v>
      </c>
    </row>
    <row r="278" spans="1:17">
      <c r="A278" s="47" t="s">
        <v>18</v>
      </c>
      <c r="B278" s="48"/>
      <c r="C278" s="48"/>
      <c r="D278" s="43"/>
      <c r="E278" s="173"/>
      <c r="F278" s="43"/>
    </row>
    <row r="279" spans="1:17">
      <c r="A279" s="67" t="s">
        <v>19</v>
      </c>
      <c r="B279" s="48">
        <f t="shared" si="87"/>
        <v>0.2064</v>
      </c>
      <c r="C279" s="48">
        <f t="shared" si="87"/>
        <v>0</v>
      </c>
      <c r="D279" s="43"/>
      <c r="E279" s="173"/>
      <c r="F279" s="43">
        <v>338676111.54000002</v>
      </c>
      <c r="G279" s="53">
        <v>132486.59</v>
      </c>
      <c r="H279" s="53">
        <v>566591.85</v>
      </c>
      <c r="I279" s="53">
        <v>0</v>
      </c>
      <c r="J279" s="53">
        <v>24675.57</v>
      </c>
      <c r="K279" s="53">
        <v>0</v>
      </c>
      <c r="L279" s="53">
        <f>G279+H279+I279-J279+K279</f>
        <v>674402.87</v>
      </c>
      <c r="M279" s="53">
        <v>12704.36</v>
      </c>
      <c r="N279" s="53">
        <f>L279-M279</f>
        <v>661698.51</v>
      </c>
      <c r="O279" s="53">
        <v>71.489999999999995</v>
      </c>
      <c r="P279" s="53">
        <v>6285.96</v>
      </c>
      <c r="Q279" s="53">
        <f>N279-O279-P279</f>
        <v>655341.06000000006</v>
      </c>
    </row>
    <row r="280" spans="1:17">
      <c r="A280" s="67" t="s">
        <v>20</v>
      </c>
      <c r="B280" s="48">
        <f t="shared" si="87"/>
        <v>0.2064</v>
      </c>
      <c r="C280" s="48">
        <f t="shared" si="87"/>
        <v>0</v>
      </c>
      <c r="D280" s="43"/>
      <c r="E280" s="173"/>
      <c r="F280" s="43">
        <v>11463839.83</v>
      </c>
      <c r="G280" s="53">
        <v>23254.26</v>
      </c>
      <c r="H280" s="53">
        <v>406.99</v>
      </c>
      <c r="I280" s="53">
        <v>0</v>
      </c>
      <c r="J280" s="53">
        <v>0</v>
      </c>
      <c r="K280" s="53">
        <v>0</v>
      </c>
      <c r="L280" s="53">
        <f>G280+H280+I280-J280+K280</f>
        <v>23661.25</v>
      </c>
      <c r="M280" s="53">
        <v>0.1</v>
      </c>
      <c r="N280" s="53">
        <f>L280-M280</f>
        <v>23661.15</v>
      </c>
      <c r="O280" s="53">
        <v>0.83</v>
      </c>
      <c r="P280" s="53">
        <v>81.849999999999994</v>
      </c>
      <c r="Q280" s="53">
        <f>N280-O280-P280</f>
        <v>23578.47</v>
      </c>
    </row>
    <row r="281" spans="1:17">
      <c r="A281" s="47"/>
      <c r="B281" s="48"/>
      <c r="C281" s="48"/>
      <c r="D281" s="43"/>
      <c r="E281" s="173"/>
      <c r="F281" s="43"/>
    </row>
    <row r="282" spans="1:17" s="50" customFormat="1" ht="13.5" thickBot="1">
      <c r="A282" s="160" t="str">
        <f>"TOTAL "&amp; A273</f>
        <v>TOTAL PARADISE TOWN</v>
      </c>
      <c r="B282" s="68">
        <f>B275</f>
        <v>0.2064</v>
      </c>
      <c r="C282" s="68">
        <f>C275</f>
        <v>0</v>
      </c>
      <c r="D282" s="69">
        <f t="shared" ref="D282:Q282" si="88">SUM(D275:D277,D279:D280)</f>
        <v>63460</v>
      </c>
      <c r="E282" s="204"/>
      <c r="F282" s="69">
        <f t="shared" si="88"/>
        <v>27977068999.261475</v>
      </c>
      <c r="G282" s="70">
        <f t="shared" si="88"/>
        <v>981340.85</v>
      </c>
      <c r="H282" s="70">
        <f t="shared" si="88"/>
        <v>56669612.890000001</v>
      </c>
      <c r="I282" s="70">
        <f t="shared" si="88"/>
        <v>0</v>
      </c>
      <c r="J282" s="70">
        <f t="shared" si="88"/>
        <v>4977072.9800000004</v>
      </c>
      <c r="K282" s="70">
        <f t="shared" si="88"/>
        <v>0</v>
      </c>
      <c r="L282" s="70">
        <f t="shared" si="88"/>
        <v>52673880.75999999</v>
      </c>
      <c r="M282" s="70">
        <f t="shared" si="88"/>
        <v>8372724.1800000006</v>
      </c>
      <c r="N282" s="70">
        <f t="shared" si="88"/>
        <v>44301156.579999991</v>
      </c>
      <c r="O282" s="70">
        <f t="shared" si="88"/>
        <v>72.319999999999993</v>
      </c>
      <c r="P282" s="70">
        <f t="shared" si="88"/>
        <v>6367.81</v>
      </c>
      <c r="Q282" s="70">
        <f t="shared" si="88"/>
        <v>44294716.449999996</v>
      </c>
    </row>
    <row r="283" spans="1:17">
      <c r="A283" s="150" t="s">
        <v>355</v>
      </c>
      <c r="B283" s="48"/>
      <c r="C283" s="48"/>
      <c r="D283" s="43"/>
      <c r="E283" s="173"/>
      <c r="F283" s="64">
        <v>25520212416</v>
      </c>
    </row>
    <row r="284" spans="1:17">
      <c r="A284" s="151" t="s">
        <v>30</v>
      </c>
      <c r="B284" s="51"/>
      <c r="C284" s="51"/>
      <c r="D284" s="52"/>
      <c r="E284" s="203"/>
      <c r="F284" s="152">
        <f>(F282-ROUND(J275/B275*100,0))-F283</f>
        <v>57439233.261474609</v>
      </c>
    </row>
    <row r="285" spans="1:17">
      <c r="A285" s="54" t="s">
        <v>327</v>
      </c>
    </row>
    <row r="286" spans="1:17">
      <c r="E286" s="65">
        <v>100000</v>
      </c>
    </row>
    <row r="287" spans="1:17">
      <c r="A287" s="49" t="s">
        <v>15</v>
      </c>
      <c r="B287" s="48">
        <v>0.02</v>
      </c>
      <c r="C287" s="48">
        <v>0</v>
      </c>
      <c r="D287" s="43">
        <v>1277</v>
      </c>
      <c r="E287" s="173">
        <f>G287/B287*100</f>
        <v>0</v>
      </c>
      <c r="F287" s="43">
        <v>83044026</v>
      </c>
      <c r="H287" s="53">
        <v>16608.810000000001</v>
      </c>
      <c r="I287" s="53">
        <v>0</v>
      </c>
      <c r="J287" s="53">
        <v>13069.95</v>
      </c>
      <c r="K287" s="53">
        <v>0</v>
      </c>
      <c r="L287" s="53">
        <f>G287+H287+I287-J287+K287</f>
        <v>3538.8600000000006</v>
      </c>
      <c r="M287" s="53">
        <v>643.92999999999995</v>
      </c>
      <c r="N287" s="53">
        <f>L287-M287</f>
        <v>2894.9300000000007</v>
      </c>
      <c r="O287" s="53">
        <v>0</v>
      </c>
      <c r="P287" s="53">
        <v>0</v>
      </c>
      <c r="Q287" s="53">
        <f>N287-O287-P287</f>
        <v>2894.9300000000007</v>
      </c>
    </row>
    <row r="288" spans="1:17">
      <c r="A288" s="47" t="s">
        <v>16</v>
      </c>
      <c r="B288" s="48">
        <f>B$287</f>
        <v>0.02</v>
      </c>
      <c r="C288" s="48">
        <f>C$287</f>
        <v>0</v>
      </c>
      <c r="D288" s="43"/>
      <c r="E288" s="173"/>
      <c r="F288" s="65">
        <f>IF(E286&gt;E287,E286-E287,0)</f>
        <v>100000</v>
      </c>
      <c r="G288" s="53">
        <f>F288*(B288-C288)/100</f>
        <v>20</v>
      </c>
      <c r="I288" s="53">
        <f>F288*C288/100</f>
        <v>0</v>
      </c>
      <c r="L288" s="53">
        <f>G288+H288+I288-J288+K288</f>
        <v>20</v>
      </c>
      <c r="N288" s="53">
        <f>L288-M288</f>
        <v>20</v>
      </c>
      <c r="Q288" s="53">
        <f>N288-O288-P288</f>
        <v>20</v>
      </c>
    </row>
    <row r="289" spans="1:17">
      <c r="A289" s="47" t="s">
        <v>17</v>
      </c>
      <c r="B289" s="48">
        <f t="shared" ref="B289:C292" si="89">B$287</f>
        <v>0.02</v>
      </c>
      <c r="C289" s="48">
        <f t="shared" si="89"/>
        <v>0</v>
      </c>
      <c r="D289" s="43"/>
      <c r="E289" s="173"/>
      <c r="F289" s="66">
        <v>2000000</v>
      </c>
      <c r="H289" s="53">
        <f>G289*(B289-C289)/100</f>
        <v>0</v>
      </c>
      <c r="I289" s="53">
        <f>F289*C289/100</f>
        <v>0</v>
      </c>
      <c r="J289" s="53">
        <v>0</v>
      </c>
      <c r="K289" s="53">
        <v>0</v>
      </c>
      <c r="L289" s="53">
        <f>G289+H289+I289-J289+K289</f>
        <v>0</v>
      </c>
      <c r="M289" s="53">
        <v>0</v>
      </c>
      <c r="N289" s="53">
        <f>L289-M289</f>
        <v>0</v>
      </c>
      <c r="O289" s="53">
        <v>0</v>
      </c>
      <c r="P289" s="53">
        <v>0</v>
      </c>
      <c r="Q289" s="53">
        <f>N289-O289-P289</f>
        <v>0</v>
      </c>
    </row>
    <row r="290" spans="1:17">
      <c r="A290" s="47" t="s">
        <v>18</v>
      </c>
      <c r="B290" s="48"/>
      <c r="C290" s="48"/>
      <c r="D290" s="43"/>
      <c r="E290" s="173"/>
      <c r="F290" s="43"/>
    </row>
    <row r="291" spans="1:17">
      <c r="A291" s="67" t="s">
        <v>19</v>
      </c>
      <c r="B291" s="48">
        <f t="shared" si="89"/>
        <v>0.02</v>
      </c>
      <c r="C291" s="48">
        <f t="shared" si="89"/>
        <v>0</v>
      </c>
      <c r="D291" s="43"/>
      <c r="E291" s="173"/>
      <c r="F291" s="43">
        <v>23693655.16</v>
      </c>
      <c r="G291" s="53">
        <v>1716.53</v>
      </c>
      <c r="H291" s="53">
        <v>3022.25</v>
      </c>
      <c r="I291" s="53">
        <v>0</v>
      </c>
      <c r="J291" s="53">
        <v>238.01</v>
      </c>
      <c r="K291" s="53">
        <v>0</v>
      </c>
      <c r="L291" s="53">
        <f>G291+H291+I291-J291+K291</f>
        <v>4500.7699999999995</v>
      </c>
      <c r="M291" s="53">
        <v>10.44</v>
      </c>
      <c r="N291" s="53">
        <f>L291-M291</f>
        <v>4490.33</v>
      </c>
      <c r="O291" s="53">
        <v>0</v>
      </c>
      <c r="P291" s="53">
        <v>28.83</v>
      </c>
      <c r="Q291" s="53">
        <f>N291-O291-P291</f>
        <v>4461.5</v>
      </c>
    </row>
    <row r="292" spans="1:17">
      <c r="A292" s="67" t="s">
        <v>20</v>
      </c>
      <c r="B292" s="48">
        <f t="shared" si="89"/>
        <v>0.02</v>
      </c>
      <c r="C292" s="48">
        <f t="shared" si="89"/>
        <v>0</v>
      </c>
      <c r="D292" s="43"/>
      <c r="E292" s="173"/>
      <c r="F292" s="43">
        <v>699149.64</v>
      </c>
      <c r="G292" s="53">
        <v>133.91</v>
      </c>
      <c r="H292" s="53">
        <v>5.94</v>
      </c>
      <c r="I292" s="53">
        <v>0</v>
      </c>
      <c r="J292" s="53">
        <v>0</v>
      </c>
      <c r="K292" s="53">
        <v>0</v>
      </c>
      <c r="L292" s="53">
        <f>G292+H292+I292-J292+K292</f>
        <v>139.85</v>
      </c>
      <c r="M292" s="53">
        <v>0</v>
      </c>
      <c r="N292" s="53">
        <f>L292-M292</f>
        <v>139.85</v>
      </c>
      <c r="O292" s="53">
        <v>0</v>
      </c>
      <c r="P292" s="53">
        <v>0.37</v>
      </c>
      <c r="Q292" s="53">
        <f>N292-O292-P292</f>
        <v>139.47999999999999</v>
      </c>
    </row>
    <row r="293" spans="1:17">
      <c r="A293" s="47"/>
      <c r="B293" s="48"/>
      <c r="C293" s="48"/>
      <c r="D293" s="43"/>
      <c r="E293" s="173"/>
      <c r="F293" s="43"/>
    </row>
    <row r="294" spans="1:17" s="50" customFormat="1" ht="13.5" thickBot="1">
      <c r="A294" s="160" t="str">
        <f>"TOTAL "&amp; A285</f>
        <v>TOTAL SEARCHLIGHT TOWN</v>
      </c>
      <c r="B294" s="68">
        <f>B287</f>
        <v>0.02</v>
      </c>
      <c r="C294" s="68">
        <f>C287</f>
        <v>0</v>
      </c>
      <c r="D294" s="69">
        <f t="shared" ref="D294:Q294" si="90">SUM(D287:D289,D291:D292)</f>
        <v>1277</v>
      </c>
      <c r="E294" s="204"/>
      <c r="F294" s="69">
        <f t="shared" si="90"/>
        <v>109536830.8</v>
      </c>
      <c r="G294" s="70">
        <f t="shared" si="90"/>
        <v>1870.44</v>
      </c>
      <c r="H294" s="70">
        <f t="shared" si="90"/>
        <v>19637</v>
      </c>
      <c r="I294" s="70">
        <f t="shared" si="90"/>
        <v>0</v>
      </c>
      <c r="J294" s="70">
        <f t="shared" si="90"/>
        <v>13307.960000000001</v>
      </c>
      <c r="K294" s="70">
        <f t="shared" si="90"/>
        <v>0</v>
      </c>
      <c r="L294" s="70">
        <f t="shared" si="90"/>
        <v>8199.48</v>
      </c>
      <c r="M294" s="70">
        <f t="shared" si="90"/>
        <v>654.37</v>
      </c>
      <c r="N294" s="70">
        <f t="shared" si="90"/>
        <v>7545.1100000000006</v>
      </c>
      <c r="O294" s="70">
        <f t="shared" si="90"/>
        <v>0</v>
      </c>
      <c r="P294" s="70"/>
      <c r="Q294" s="70">
        <f t="shared" si="90"/>
        <v>7515.91</v>
      </c>
    </row>
    <row r="295" spans="1:17">
      <c r="A295" s="150" t="s">
        <v>355</v>
      </c>
      <c r="B295" s="48"/>
      <c r="C295" s="48"/>
      <c r="D295" s="43"/>
      <c r="E295" s="173"/>
      <c r="F295" s="64">
        <v>42199411</v>
      </c>
    </row>
    <row r="296" spans="1:17">
      <c r="A296" s="151" t="s">
        <v>30</v>
      </c>
      <c r="B296" s="51"/>
      <c r="C296" s="51"/>
      <c r="D296" s="52"/>
      <c r="E296" s="203"/>
      <c r="F296" s="152">
        <f>(F294-ROUND(J287/B287*100,0))-F295</f>
        <v>1987669.799999997</v>
      </c>
    </row>
    <row r="297" spans="1:17">
      <c r="A297" s="54" t="s">
        <v>328</v>
      </c>
    </row>
    <row r="298" spans="1:17">
      <c r="E298" s="65">
        <v>163000000</v>
      </c>
    </row>
    <row r="299" spans="1:17">
      <c r="A299" s="49" t="s">
        <v>15</v>
      </c>
      <c r="B299" s="48">
        <v>0.2064</v>
      </c>
      <c r="C299" s="48">
        <v>0</v>
      </c>
      <c r="D299" s="43">
        <v>82032</v>
      </c>
      <c r="E299" s="173">
        <f>G299/B299*100</f>
        <v>18920232.558139537</v>
      </c>
      <c r="F299" s="43">
        <v>13848381506</v>
      </c>
      <c r="G299" s="53">
        <v>39051.360000000001</v>
      </c>
      <c r="H299" s="53">
        <v>28534714.899999999</v>
      </c>
      <c r="I299" s="53">
        <v>0</v>
      </c>
      <c r="J299" s="53">
        <v>2268573.2599999998</v>
      </c>
      <c r="K299" s="53">
        <v>0</v>
      </c>
      <c r="L299" s="53">
        <f>G299+H299+I299-J299+K299</f>
        <v>26305193</v>
      </c>
      <c r="M299" s="53">
        <v>4381675.82</v>
      </c>
      <c r="N299" s="53">
        <f>L299-M299</f>
        <v>21923517.18</v>
      </c>
      <c r="O299" s="53">
        <v>0</v>
      </c>
      <c r="P299" s="53">
        <v>0</v>
      </c>
      <c r="Q299" s="53">
        <f>N299-O299-P299</f>
        <v>21923517.18</v>
      </c>
    </row>
    <row r="300" spans="1:17">
      <c r="A300" s="47" t="s">
        <v>16</v>
      </c>
      <c r="B300" s="48">
        <f>B$299</f>
        <v>0.2064</v>
      </c>
      <c r="C300" s="48">
        <f>C$299</f>
        <v>0</v>
      </c>
      <c r="D300" s="43"/>
      <c r="E300" s="173"/>
      <c r="F300" s="65">
        <f>IF(E298&gt;E299,E298-E299,0)</f>
        <v>144079767.44186047</v>
      </c>
      <c r="G300" s="53">
        <f>F300*(B300-C300)/100</f>
        <v>297380.64</v>
      </c>
      <c r="I300" s="53">
        <f>F300*C300/100</f>
        <v>0</v>
      </c>
      <c r="L300" s="53">
        <f>G300+H300+I300-J300+K300</f>
        <v>297380.64</v>
      </c>
      <c r="N300" s="53">
        <f>L300-M300</f>
        <v>297380.64</v>
      </c>
      <c r="Q300" s="53">
        <f>N300-O300-P300</f>
        <v>297380.64</v>
      </c>
    </row>
    <row r="301" spans="1:17">
      <c r="A301" s="47" t="s">
        <v>17</v>
      </c>
      <c r="B301" s="48">
        <f t="shared" ref="B301:C304" si="91">B$299</f>
        <v>0.2064</v>
      </c>
      <c r="C301" s="48">
        <f t="shared" si="91"/>
        <v>0</v>
      </c>
      <c r="D301" s="43"/>
      <c r="E301" s="173"/>
      <c r="F301" s="66">
        <v>300000000</v>
      </c>
      <c r="H301" s="53">
        <f>F301*(B301-C301)/100</f>
        <v>619200</v>
      </c>
      <c r="I301" s="53">
        <f>F301*C301/100</f>
        <v>0</v>
      </c>
      <c r="J301" s="53">
        <v>0</v>
      </c>
      <c r="K301" s="53">
        <v>0</v>
      </c>
      <c r="L301" s="53">
        <f>G301+H301+I301-J301+K301</f>
        <v>619200</v>
      </c>
      <c r="M301" s="53">
        <v>0</v>
      </c>
      <c r="N301" s="53">
        <f>L301-M301</f>
        <v>619200</v>
      </c>
      <c r="O301" s="53">
        <v>0</v>
      </c>
      <c r="P301" s="53">
        <v>0</v>
      </c>
      <c r="Q301" s="53">
        <f>N301-O301-P301</f>
        <v>619200</v>
      </c>
    </row>
    <row r="302" spans="1:17">
      <c r="A302" s="47" t="s">
        <v>18</v>
      </c>
      <c r="B302" s="48"/>
      <c r="C302" s="48"/>
      <c r="D302" s="43"/>
      <c r="E302" s="173"/>
      <c r="F302" s="43"/>
    </row>
    <row r="303" spans="1:17">
      <c r="A303" s="67" t="s">
        <v>19</v>
      </c>
      <c r="B303" s="48">
        <f t="shared" si="91"/>
        <v>0.2064</v>
      </c>
      <c r="C303" s="48">
        <f t="shared" si="91"/>
        <v>0</v>
      </c>
      <c r="D303" s="43"/>
      <c r="E303" s="173"/>
      <c r="F303" s="43">
        <v>200698078.05000001</v>
      </c>
      <c r="G303" s="53">
        <v>84519.02</v>
      </c>
      <c r="H303" s="53">
        <v>329756.39</v>
      </c>
      <c r="I303" s="53">
        <v>0</v>
      </c>
      <c r="J303" s="53">
        <v>16757.34</v>
      </c>
      <c r="K303" s="53">
        <v>0</v>
      </c>
      <c r="L303" s="53">
        <f>G303+H303+I303-J303+K303</f>
        <v>397518.07</v>
      </c>
      <c r="M303" s="53">
        <v>2245.9899999999998</v>
      </c>
      <c r="N303" s="53">
        <f>L303-M303</f>
        <v>395272.08</v>
      </c>
      <c r="O303" s="53">
        <v>0</v>
      </c>
      <c r="P303" s="53">
        <v>6316.48</v>
      </c>
      <c r="Q303" s="53">
        <f>N303-O303-P303</f>
        <v>388955.60000000003</v>
      </c>
    </row>
    <row r="304" spans="1:17">
      <c r="A304" s="67" t="s">
        <v>20</v>
      </c>
      <c r="B304" s="48">
        <f t="shared" si="91"/>
        <v>0.2064</v>
      </c>
      <c r="C304" s="48">
        <f t="shared" si="91"/>
        <v>0</v>
      </c>
      <c r="D304" s="43"/>
      <c r="E304" s="173"/>
      <c r="F304" s="43">
        <v>4021445.44</v>
      </c>
      <c r="G304" s="53">
        <v>8085.4</v>
      </c>
      <c r="H304" s="53">
        <v>214.83</v>
      </c>
      <c r="I304" s="53">
        <v>0</v>
      </c>
      <c r="J304" s="53">
        <v>0</v>
      </c>
      <c r="K304" s="53">
        <v>0</v>
      </c>
      <c r="L304" s="53">
        <f>G304+H304+I304-J304+K304</f>
        <v>8300.23</v>
      </c>
      <c r="M304" s="53">
        <v>0</v>
      </c>
      <c r="N304" s="53">
        <f>L304-M304</f>
        <v>8300.23</v>
      </c>
      <c r="O304" s="53">
        <v>0</v>
      </c>
      <c r="P304" s="53">
        <v>82.25</v>
      </c>
      <c r="Q304" s="53">
        <f>N304-O304-P304</f>
        <v>8217.98</v>
      </c>
    </row>
    <row r="305" spans="1:17">
      <c r="A305" s="47"/>
      <c r="B305" s="48"/>
      <c r="C305" s="48"/>
      <c r="D305" s="43"/>
      <c r="E305" s="173"/>
      <c r="F305" s="43"/>
    </row>
    <row r="306" spans="1:17" s="50" customFormat="1" ht="13.5" thickBot="1">
      <c r="A306" s="160" t="str">
        <f>"TOTAL "&amp; A297</f>
        <v>TOTAL SPRING VALLEY TOWN</v>
      </c>
      <c r="B306" s="68">
        <f>B299</f>
        <v>0.2064</v>
      </c>
      <c r="C306" s="68">
        <f>C299</f>
        <v>0</v>
      </c>
      <c r="D306" s="69">
        <f t="shared" ref="D306:Q306" si="92">SUM(D299:D301,D303:D304)</f>
        <v>82032</v>
      </c>
      <c r="E306" s="204"/>
      <c r="F306" s="69">
        <f t="shared" si="92"/>
        <v>14497180796.93186</v>
      </c>
      <c r="G306" s="70">
        <f t="shared" si="92"/>
        <v>429036.42000000004</v>
      </c>
      <c r="H306" s="70">
        <f t="shared" si="92"/>
        <v>29483886.119999997</v>
      </c>
      <c r="I306" s="70">
        <f t="shared" si="92"/>
        <v>0</v>
      </c>
      <c r="J306" s="70">
        <f t="shared" si="92"/>
        <v>2285330.5999999996</v>
      </c>
      <c r="K306" s="70">
        <f t="shared" si="92"/>
        <v>0</v>
      </c>
      <c r="L306" s="70">
        <f t="shared" si="92"/>
        <v>27627591.940000001</v>
      </c>
      <c r="M306" s="70">
        <f t="shared" si="92"/>
        <v>4383921.8100000005</v>
      </c>
      <c r="N306" s="70">
        <f t="shared" si="92"/>
        <v>23243670.129999999</v>
      </c>
      <c r="O306" s="70">
        <f t="shared" si="92"/>
        <v>0</v>
      </c>
      <c r="P306" s="70">
        <f t="shared" si="92"/>
        <v>6398.73</v>
      </c>
      <c r="Q306" s="70">
        <f t="shared" si="92"/>
        <v>23237271.400000002</v>
      </c>
    </row>
    <row r="307" spans="1:17">
      <c r="A307" s="150" t="s">
        <v>355</v>
      </c>
      <c r="B307" s="48"/>
      <c r="C307" s="48"/>
      <c r="D307" s="43"/>
      <c r="E307" s="173"/>
      <c r="F307" s="64">
        <v>13326236020</v>
      </c>
    </row>
    <row r="308" spans="1:17">
      <c r="A308" s="151" t="s">
        <v>30</v>
      </c>
      <c r="B308" s="51"/>
      <c r="C308" s="51"/>
      <c r="D308" s="52"/>
      <c r="E308" s="203"/>
      <c r="F308" s="152">
        <f>(F306-ROUND(J299/B299*100,0))-F307</f>
        <v>71829824.93185997</v>
      </c>
    </row>
    <row r="309" spans="1:17">
      <c r="A309" s="54" t="s">
        <v>329</v>
      </c>
    </row>
    <row r="310" spans="1:17">
      <c r="A310" s="54"/>
      <c r="B310" s="50"/>
      <c r="C310" s="50"/>
      <c r="D310" s="50"/>
      <c r="E310" s="65">
        <v>101000000</v>
      </c>
      <c r="F310" s="50"/>
      <c r="G310" s="59"/>
    </row>
    <row r="311" spans="1:17">
      <c r="A311" s="49" t="s">
        <v>15</v>
      </c>
      <c r="B311" s="48">
        <v>0.2064</v>
      </c>
      <c r="C311" s="48">
        <v>0</v>
      </c>
      <c r="D311" s="43">
        <v>15908</v>
      </c>
      <c r="E311" s="173">
        <f>G311/B311*100</f>
        <v>11129084.302325582</v>
      </c>
      <c r="F311" s="43">
        <v>6443644613</v>
      </c>
      <c r="G311" s="53">
        <v>22970.43</v>
      </c>
      <c r="H311" s="53">
        <v>13272250.43</v>
      </c>
      <c r="I311" s="53">
        <v>0</v>
      </c>
      <c r="J311" s="53">
        <v>658191.77</v>
      </c>
      <c r="K311" s="53">
        <v>0</v>
      </c>
      <c r="L311" s="53">
        <f>G311+H311+I311-J311+K311</f>
        <v>12637029.09</v>
      </c>
      <c r="M311" s="53">
        <v>2955859.71</v>
      </c>
      <c r="N311" s="53">
        <f>L311-M311</f>
        <v>9681169.379999999</v>
      </c>
      <c r="O311" s="53">
        <v>0</v>
      </c>
      <c r="Q311" s="53">
        <f>N311-O311-P311</f>
        <v>9681169.379999999</v>
      </c>
    </row>
    <row r="312" spans="1:17">
      <c r="A312" s="47" t="s">
        <v>16</v>
      </c>
      <c r="B312" s="48">
        <f>B$311</f>
        <v>0.2064</v>
      </c>
      <c r="C312" s="48">
        <f>C$311</f>
        <v>0</v>
      </c>
      <c r="D312" s="43"/>
      <c r="E312" s="173"/>
      <c r="F312" s="65">
        <f>IF(E310&gt;E311,E310-E311,0)</f>
        <v>89870915.697674423</v>
      </c>
      <c r="G312" s="53">
        <f>F312*(B312-C312)/100</f>
        <v>185493.57</v>
      </c>
      <c r="I312" s="53">
        <f>F312*C312/100</f>
        <v>0</v>
      </c>
      <c r="L312" s="53">
        <f>G312+H312+I312-J312+K312</f>
        <v>185493.57</v>
      </c>
      <c r="N312" s="53">
        <f>L312-M312</f>
        <v>185493.57</v>
      </c>
      <c r="Q312" s="53">
        <f>N312-O312-P312</f>
        <v>185493.57</v>
      </c>
    </row>
    <row r="313" spans="1:17">
      <c r="A313" s="47" t="s">
        <v>17</v>
      </c>
      <c r="B313" s="48">
        <f t="shared" ref="B313:C316" si="93">B$311</f>
        <v>0.2064</v>
      </c>
      <c r="C313" s="48">
        <f t="shared" si="93"/>
        <v>0</v>
      </c>
      <c r="D313" s="43"/>
      <c r="E313" s="173"/>
      <c r="F313" s="66">
        <v>70000000</v>
      </c>
      <c r="H313" s="53">
        <f>F313*(B313-C313)/100</f>
        <v>144480</v>
      </c>
      <c r="I313" s="53">
        <f>F313*C313/100</f>
        <v>0</v>
      </c>
      <c r="J313" s="53">
        <v>0</v>
      </c>
      <c r="K313" s="53">
        <v>0</v>
      </c>
      <c r="L313" s="53">
        <f>G313+H313+I313-J313+K313</f>
        <v>144480</v>
      </c>
      <c r="M313" s="53">
        <v>0</v>
      </c>
      <c r="N313" s="53">
        <f>L313-M313</f>
        <v>144480</v>
      </c>
      <c r="O313" s="53">
        <v>0</v>
      </c>
      <c r="Q313" s="53">
        <f>N313-O313-P313</f>
        <v>144480</v>
      </c>
    </row>
    <row r="314" spans="1:17">
      <c r="A314" s="47" t="s">
        <v>18</v>
      </c>
      <c r="B314" s="48"/>
      <c r="C314" s="48"/>
      <c r="D314" s="43"/>
      <c r="E314" s="173"/>
      <c r="F314" s="43"/>
    </row>
    <row r="315" spans="1:17">
      <c r="A315" s="67" t="s">
        <v>19</v>
      </c>
      <c r="B315" s="48">
        <f t="shared" si="93"/>
        <v>0.2064</v>
      </c>
      <c r="C315" s="48">
        <f t="shared" si="93"/>
        <v>0</v>
      </c>
      <c r="D315" s="43"/>
      <c r="E315" s="173"/>
      <c r="F315" s="43">
        <v>52148771.920000002</v>
      </c>
      <c r="G315" s="53">
        <v>9215.26</v>
      </c>
      <c r="H315" s="53">
        <v>98425.69</v>
      </c>
      <c r="I315" s="53">
        <v>0</v>
      </c>
      <c r="J315" s="53">
        <v>2854.7</v>
      </c>
      <c r="K315" s="53">
        <v>0</v>
      </c>
      <c r="L315" s="53">
        <f>G315+H315+I315-J315+K315</f>
        <v>104786.25</v>
      </c>
      <c r="M315" s="53">
        <v>601.29999999999995</v>
      </c>
      <c r="N315" s="53">
        <f>L315-M315</f>
        <v>104184.95</v>
      </c>
      <c r="O315" s="53">
        <v>0</v>
      </c>
      <c r="P315" s="53">
        <v>1681.84</v>
      </c>
      <c r="Q315" s="53">
        <f>N315-O315-P315</f>
        <v>102503.11</v>
      </c>
    </row>
    <row r="316" spans="1:17">
      <c r="A316" s="67" t="s">
        <v>20</v>
      </c>
      <c r="B316" s="48">
        <f t="shared" si="93"/>
        <v>0.2064</v>
      </c>
      <c r="C316" s="48">
        <f t="shared" si="93"/>
        <v>0</v>
      </c>
      <c r="D316" s="43"/>
      <c r="E316" s="173"/>
      <c r="F316" s="43">
        <v>1028591.05</v>
      </c>
      <c r="G316" s="53">
        <v>2116.59</v>
      </c>
      <c r="H316" s="53">
        <v>6.42</v>
      </c>
      <c r="I316" s="53">
        <v>0</v>
      </c>
      <c r="J316" s="53">
        <v>0</v>
      </c>
      <c r="K316" s="53">
        <v>0</v>
      </c>
      <c r="L316" s="53">
        <f>G316+H316+I316-J316+K316</f>
        <v>2123.0100000000002</v>
      </c>
      <c r="M316" s="53">
        <v>0</v>
      </c>
      <c r="N316" s="53">
        <f>L316-M316</f>
        <v>2123.0100000000002</v>
      </c>
      <c r="O316" s="53">
        <v>0</v>
      </c>
      <c r="P316" s="53">
        <v>21.9</v>
      </c>
      <c r="Q316" s="53">
        <f>N316-O316-P316</f>
        <v>2101.11</v>
      </c>
    </row>
    <row r="317" spans="1:17">
      <c r="A317" s="47"/>
      <c r="B317" s="48"/>
      <c r="C317" s="48"/>
      <c r="D317" s="43"/>
      <c r="E317" s="173"/>
      <c r="F317" s="43"/>
    </row>
    <row r="318" spans="1:17" s="50" customFormat="1" ht="13.5" thickBot="1">
      <c r="A318" s="160" t="str">
        <f>"TOTAL "&amp; A309</f>
        <v>TOTAL SUMMERLIN TOWN</v>
      </c>
      <c r="B318" s="68">
        <f>B311</f>
        <v>0.2064</v>
      </c>
      <c r="C318" s="68">
        <f>C311</f>
        <v>0</v>
      </c>
      <c r="D318" s="69">
        <f t="shared" ref="D318:Q318" si="94">SUM(D311:D313,D315:D316)</f>
        <v>15908</v>
      </c>
      <c r="E318" s="204"/>
      <c r="F318" s="69">
        <f t="shared" si="94"/>
        <v>6656692891.667675</v>
      </c>
      <c r="G318" s="70">
        <f t="shared" si="94"/>
        <v>219795.85</v>
      </c>
      <c r="H318" s="70">
        <f t="shared" si="94"/>
        <v>13515162.539999999</v>
      </c>
      <c r="I318" s="70">
        <f t="shared" si="94"/>
        <v>0</v>
      </c>
      <c r="J318" s="70">
        <f t="shared" si="94"/>
        <v>661046.47</v>
      </c>
      <c r="K318" s="70">
        <f t="shared" si="94"/>
        <v>0</v>
      </c>
      <c r="L318" s="70">
        <f t="shared" si="94"/>
        <v>13073911.92</v>
      </c>
      <c r="M318" s="70">
        <f t="shared" si="94"/>
        <v>2956461.01</v>
      </c>
      <c r="N318" s="70">
        <f t="shared" si="94"/>
        <v>10117450.909999998</v>
      </c>
      <c r="O318" s="70">
        <f t="shared" si="94"/>
        <v>0</v>
      </c>
      <c r="P318" s="70">
        <f t="shared" si="94"/>
        <v>1703.74</v>
      </c>
      <c r="Q318" s="70">
        <f t="shared" si="94"/>
        <v>10115747.169999998</v>
      </c>
    </row>
    <row r="319" spans="1:17">
      <c r="A319" s="150" t="s">
        <v>355</v>
      </c>
      <c r="B319" s="48"/>
      <c r="C319" s="48"/>
      <c r="D319" s="43"/>
      <c r="E319" s="173"/>
      <c r="F319" s="64">
        <v>6256738277</v>
      </c>
    </row>
    <row r="320" spans="1:17">
      <c r="A320" s="151" t="s">
        <v>30</v>
      </c>
      <c r="B320" s="51"/>
      <c r="C320" s="51"/>
      <c r="D320" s="52"/>
      <c r="E320" s="203"/>
      <c r="F320" s="152">
        <f>(F318-ROUND(J311/B311*100,0))-F319</f>
        <v>81063253.667675018</v>
      </c>
    </row>
    <row r="321" spans="1:17">
      <c r="A321" s="54" t="s">
        <v>330</v>
      </c>
    </row>
    <row r="322" spans="1:17">
      <c r="A322" s="83"/>
      <c r="B322" s="84"/>
      <c r="C322" s="84"/>
      <c r="D322" s="84"/>
      <c r="E322" s="65">
        <v>55000000</v>
      </c>
      <c r="F322" s="84"/>
      <c r="G322" s="59"/>
    </row>
    <row r="323" spans="1:17">
      <c r="A323" s="49" t="s">
        <v>15</v>
      </c>
      <c r="B323" s="48">
        <v>0.2064</v>
      </c>
      <c r="C323" s="48">
        <v>0</v>
      </c>
      <c r="D323" s="43">
        <v>51581</v>
      </c>
      <c r="E323" s="173">
        <f>G323/B323*100</f>
        <v>1822524.2248062016</v>
      </c>
      <c r="F323" s="43">
        <v>6172101330</v>
      </c>
      <c r="G323" s="53">
        <v>3761.69</v>
      </c>
      <c r="H323" s="53">
        <v>12724224.74</v>
      </c>
      <c r="I323" s="53">
        <v>0</v>
      </c>
      <c r="J323" s="53">
        <v>1740595.22</v>
      </c>
      <c r="K323" s="53">
        <v>0</v>
      </c>
      <c r="L323" s="53">
        <f>G323+H323+I323-J323+K323</f>
        <v>10987391.209999999</v>
      </c>
      <c r="M323" s="53">
        <v>3447799.4</v>
      </c>
      <c r="N323" s="53">
        <f>L323-M323</f>
        <v>7539591.8099999987</v>
      </c>
      <c r="O323" s="53">
        <v>0</v>
      </c>
      <c r="P323" s="53">
        <v>0</v>
      </c>
      <c r="Q323" s="53">
        <f>N323-O323-P323</f>
        <v>7539591.8099999987</v>
      </c>
    </row>
    <row r="324" spans="1:17">
      <c r="A324" s="47" t="s">
        <v>16</v>
      </c>
      <c r="B324" s="48">
        <f>B$323</f>
        <v>0.2064</v>
      </c>
      <c r="C324" s="48">
        <f>C$323</f>
        <v>0</v>
      </c>
      <c r="D324" s="43"/>
      <c r="E324" s="173"/>
      <c r="F324" s="65">
        <f>IF(E322&gt;E323,E322-E323,0)</f>
        <v>53177475.775193796</v>
      </c>
      <c r="G324" s="53">
        <f>F324*(B324-C324)/100</f>
        <v>109758.31</v>
      </c>
      <c r="I324" s="53">
        <f>F324*C324/100</f>
        <v>0</v>
      </c>
      <c r="L324" s="53">
        <f>G324+H324+I324-J324+K324</f>
        <v>109758.31</v>
      </c>
      <c r="N324" s="53">
        <f>L324-M324</f>
        <v>109758.31</v>
      </c>
      <c r="Q324" s="53">
        <f>N324-O324-P324</f>
        <v>109758.31</v>
      </c>
    </row>
    <row r="325" spans="1:17">
      <c r="A325" s="47" t="s">
        <v>17</v>
      </c>
      <c r="B325" s="48">
        <f t="shared" ref="B325:C328" si="95">B$323</f>
        <v>0.2064</v>
      </c>
      <c r="C325" s="48">
        <f t="shared" si="95"/>
        <v>0</v>
      </c>
      <c r="D325" s="43"/>
      <c r="E325" s="173"/>
      <c r="F325" s="66">
        <v>200000000</v>
      </c>
      <c r="H325" s="53">
        <f>F325*(B325-C325)/100</f>
        <v>412800</v>
      </c>
      <c r="I325" s="53">
        <f>F325*C325/100</f>
        <v>0</v>
      </c>
      <c r="J325" s="53">
        <v>0</v>
      </c>
      <c r="K325" s="53">
        <v>0</v>
      </c>
      <c r="L325" s="53">
        <f>G325+H325+I325-J325+K325</f>
        <v>412800</v>
      </c>
      <c r="M325" s="53">
        <v>0</v>
      </c>
      <c r="N325" s="53">
        <f>L325-M325</f>
        <v>412800</v>
      </c>
      <c r="O325" s="53">
        <v>0</v>
      </c>
      <c r="P325" s="53">
        <v>0</v>
      </c>
      <c r="Q325" s="53">
        <f>N325-O325-P325</f>
        <v>412800</v>
      </c>
    </row>
    <row r="326" spans="1:17">
      <c r="A326" s="47" t="s">
        <v>18</v>
      </c>
      <c r="B326" s="48"/>
      <c r="C326" s="48"/>
      <c r="D326" s="43"/>
      <c r="E326" s="173"/>
      <c r="F326" s="43"/>
    </row>
    <row r="327" spans="1:17">
      <c r="A327" s="67" t="s">
        <v>19</v>
      </c>
      <c r="B327" s="48">
        <f t="shared" ref="B327:C327" si="96">B$335</f>
        <v>0.2064</v>
      </c>
      <c r="C327" s="48">
        <f t="shared" si="96"/>
        <v>0</v>
      </c>
      <c r="D327" s="43"/>
      <c r="E327" s="173"/>
      <c r="F327" s="43">
        <v>137404410.94</v>
      </c>
      <c r="G327" s="53">
        <v>57821.79</v>
      </c>
      <c r="H327" s="53">
        <v>225804.78</v>
      </c>
      <c r="I327" s="53">
        <v>0</v>
      </c>
      <c r="J327" s="53">
        <v>11574.57</v>
      </c>
      <c r="K327" s="53">
        <v>0</v>
      </c>
      <c r="L327" s="53">
        <f>G327+H327+I327-J327+K327</f>
        <v>272052</v>
      </c>
      <c r="M327" s="53">
        <v>1198.03</v>
      </c>
      <c r="N327" s="53">
        <f>L327-M327</f>
        <v>270853.96999999997</v>
      </c>
      <c r="O327" s="53">
        <v>430.3</v>
      </c>
      <c r="P327" s="53">
        <v>4495.46</v>
      </c>
      <c r="Q327" s="53">
        <f>N327-O327-P327</f>
        <v>265928.20999999996</v>
      </c>
    </row>
    <row r="328" spans="1:17">
      <c r="A328" s="67" t="s">
        <v>20</v>
      </c>
      <c r="B328" s="48">
        <f t="shared" si="95"/>
        <v>0.2064</v>
      </c>
      <c r="C328" s="48">
        <f t="shared" si="95"/>
        <v>0</v>
      </c>
      <c r="D328" s="43"/>
      <c r="E328" s="173"/>
      <c r="F328" s="484">
        <v>2546071.0299999998</v>
      </c>
      <c r="G328" s="484">
        <v>5109.26</v>
      </c>
      <c r="H328" s="484">
        <v>145.84</v>
      </c>
      <c r="I328" s="53">
        <v>0</v>
      </c>
      <c r="J328" s="53">
        <v>0</v>
      </c>
      <c r="K328" s="53">
        <v>0</v>
      </c>
      <c r="L328" s="53">
        <f>G328+H328+I328-J328+K328</f>
        <v>5255.1</v>
      </c>
      <c r="M328" s="53">
        <v>0</v>
      </c>
      <c r="N328" s="53">
        <f>L328-M328</f>
        <v>5255.1</v>
      </c>
      <c r="O328" s="53">
        <v>2.44</v>
      </c>
      <c r="P328" s="53">
        <v>58.54</v>
      </c>
      <c r="Q328" s="53">
        <f>N328-O328-P328</f>
        <v>5194.1200000000008</v>
      </c>
    </row>
    <row r="329" spans="1:17">
      <c r="A329" s="47"/>
      <c r="B329" s="48"/>
      <c r="C329" s="48"/>
      <c r="D329" s="43"/>
      <c r="E329" s="173"/>
      <c r="F329" s="43"/>
    </row>
    <row r="330" spans="1:17" s="50" customFormat="1" ht="13.5" thickBot="1">
      <c r="A330" s="160" t="str">
        <f>"TOTAL "&amp; A321</f>
        <v>TOTAL SUNRISE MANOR TOWN</v>
      </c>
      <c r="B330" s="68">
        <f>B323</f>
        <v>0.2064</v>
      </c>
      <c r="C330" s="68">
        <f>C323</f>
        <v>0</v>
      </c>
      <c r="D330" s="69">
        <f t="shared" ref="D330:Q330" si="97">SUM(D323:D325,D327:D328)</f>
        <v>51581</v>
      </c>
      <c r="E330" s="204"/>
      <c r="F330" s="69">
        <f t="shared" si="97"/>
        <v>6565229287.7451935</v>
      </c>
      <c r="G330" s="70">
        <f t="shared" si="97"/>
        <v>176451.05000000002</v>
      </c>
      <c r="H330" s="70">
        <f t="shared" si="97"/>
        <v>13362975.359999999</v>
      </c>
      <c r="I330" s="70">
        <f t="shared" si="97"/>
        <v>0</v>
      </c>
      <c r="J330" s="70">
        <f t="shared" si="97"/>
        <v>1752169.79</v>
      </c>
      <c r="K330" s="70">
        <f t="shared" si="97"/>
        <v>0</v>
      </c>
      <c r="L330" s="70">
        <f t="shared" si="97"/>
        <v>11787256.619999999</v>
      </c>
      <c r="M330" s="70">
        <f t="shared" si="97"/>
        <v>3448997.4299999997</v>
      </c>
      <c r="N330" s="70">
        <f t="shared" si="97"/>
        <v>8338259.1899999976</v>
      </c>
      <c r="O330" s="70">
        <f t="shared" si="97"/>
        <v>432.74</v>
      </c>
      <c r="P330" s="70">
        <f t="shared" si="97"/>
        <v>4554</v>
      </c>
      <c r="Q330" s="70">
        <f t="shared" si="97"/>
        <v>8333272.4499999983</v>
      </c>
    </row>
    <row r="331" spans="1:17">
      <c r="A331" s="150" t="s">
        <v>355</v>
      </c>
      <c r="B331" s="48"/>
      <c r="C331" s="48"/>
      <c r="D331" s="43"/>
      <c r="E331" s="173"/>
      <c r="F331" s="64">
        <v>5703798153</v>
      </c>
    </row>
    <row r="332" spans="1:17">
      <c r="A332" s="151" t="s">
        <v>30</v>
      </c>
      <c r="B332" s="51"/>
      <c r="C332" s="51"/>
      <c r="D332" s="52"/>
      <c r="E332" s="203"/>
      <c r="F332" s="152">
        <f>(F330-ROUND(J323/B323*100,0))-F331</f>
        <v>18119496.745193481</v>
      </c>
    </row>
    <row r="333" spans="1:17">
      <c r="A333" s="54" t="s">
        <v>331</v>
      </c>
      <c r="B333" s="50"/>
      <c r="C333" s="50"/>
      <c r="D333" s="50"/>
      <c r="E333" s="211"/>
      <c r="F333" s="50"/>
      <c r="G333" s="59"/>
    </row>
    <row r="334" spans="1:17">
      <c r="A334" s="50"/>
      <c r="E334" s="65">
        <v>4000000</v>
      </c>
    </row>
    <row r="335" spans="1:17">
      <c r="A335" s="49" t="s">
        <v>15</v>
      </c>
      <c r="B335" s="48">
        <v>0.2064</v>
      </c>
      <c r="C335" s="48">
        <v>0</v>
      </c>
      <c r="D335" s="43">
        <v>14138</v>
      </c>
      <c r="E335" s="173">
        <f>G335/B335*100</f>
        <v>0</v>
      </c>
      <c r="F335" s="43">
        <v>1590194858</v>
      </c>
      <c r="G335" s="53">
        <v>0</v>
      </c>
      <c r="H335" s="53">
        <v>3266338.88</v>
      </c>
      <c r="J335" s="53">
        <v>433421.67</v>
      </c>
      <c r="K335" s="53">
        <v>0</v>
      </c>
      <c r="L335" s="53">
        <f>G335+H335+I335-J335+K335</f>
        <v>2832917.21</v>
      </c>
      <c r="M335" s="53">
        <v>947955.03</v>
      </c>
      <c r="N335" s="53">
        <f>L335-M335</f>
        <v>1884962.18</v>
      </c>
      <c r="Q335" s="53">
        <f>N335-O335-P335</f>
        <v>1884962.18</v>
      </c>
    </row>
    <row r="336" spans="1:17">
      <c r="A336" s="47" t="s">
        <v>16</v>
      </c>
      <c r="B336" s="48">
        <f>B$335</f>
        <v>0.2064</v>
      </c>
      <c r="C336" s="48">
        <f>C$335</f>
        <v>0</v>
      </c>
      <c r="D336" s="43"/>
      <c r="E336" s="173"/>
      <c r="F336" s="65">
        <f>IF(E334&gt;E335,E334-E335,0)</f>
        <v>4000000</v>
      </c>
      <c r="G336" s="53">
        <f>F336*(B336-C336)/100</f>
        <v>8256</v>
      </c>
      <c r="I336" s="53">
        <f>F336*C336/100</f>
        <v>0</v>
      </c>
      <c r="L336" s="53">
        <f>G336+H336+I336-J336+K336</f>
        <v>8256</v>
      </c>
      <c r="N336" s="53">
        <f>L336-M336</f>
        <v>8256</v>
      </c>
      <c r="Q336" s="53">
        <f>N336-O336-P336</f>
        <v>8256</v>
      </c>
    </row>
    <row r="337" spans="1:17">
      <c r="A337" s="47" t="s">
        <v>17</v>
      </c>
      <c r="B337" s="48">
        <f t="shared" ref="B337:C340" si="98">B$335</f>
        <v>0.2064</v>
      </c>
      <c r="C337" s="48">
        <f t="shared" si="98"/>
        <v>0</v>
      </c>
      <c r="D337" s="43"/>
      <c r="E337" s="173"/>
      <c r="F337" s="66">
        <v>27000000</v>
      </c>
      <c r="H337" s="53">
        <f>G337*(B337-C337)/100</f>
        <v>0</v>
      </c>
      <c r="I337" s="53">
        <f>F337*C337/100</f>
        <v>0</v>
      </c>
      <c r="L337" s="53">
        <f>G337+H337+I337-J337+K337</f>
        <v>0</v>
      </c>
      <c r="N337" s="53">
        <f>L337-M337</f>
        <v>0</v>
      </c>
      <c r="Q337" s="53">
        <f>N337-O337-P337</f>
        <v>0</v>
      </c>
    </row>
    <row r="338" spans="1:17">
      <c r="A338" s="47" t="s">
        <v>18</v>
      </c>
      <c r="B338" s="48"/>
      <c r="C338" s="48"/>
      <c r="D338" s="43"/>
      <c r="E338" s="173"/>
      <c r="F338" s="43"/>
    </row>
    <row r="339" spans="1:17">
      <c r="A339" s="67" t="s">
        <v>19</v>
      </c>
      <c r="B339" s="48">
        <f t="shared" si="98"/>
        <v>0.2064</v>
      </c>
      <c r="C339" s="48">
        <f t="shared" si="98"/>
        <v>0</v>
      </c>
      <c r="D339" s="43"/>
      <c r="E339" s="173"/>
      <c r="F339" s="43">
        <v>34554588.799999997</v>
      </c>
      <c r="G339" s="53">
        <v>17456.57</v>
      </c>
      <c r="H339" s="53">
        <v>53870.89</v>
      </c>
      <c r="I339" s="53">
        <v>0</v>
      </c>
      <c r="J339" s="53">
        <v>3282.33</v>
      </c>
      <c r="K339" s="53">
        <v>0</v>
      </c>
      <c r="L339" s="53">
        <f>G339+H339+I339-J339+K339</f>
        <v>68045.12999999999</v>
      </c>
      <c r="M339" s="53">
        <v>299.83</v>
      </c>
      <c r="N339" s="53">
        <f>L339-M339</f>
        <v>67745.299999999988</v>
      </c>
      <c r="O339" s="53">
        <v>0</v>
      </c>
      <c r="P339" s="53">
        <v>1124.8499999999999</v>
      </c>
      <c r="Q339" s="53">
        <f>N339-O339-P339</f>
        <v>66620.449999999983</v>
      </c>
    </row>
    <row r="340" spans="1:17">
      <c r="A340" s="67" t="s">
        <v>20</v>
      </c>
      <c r="B340" s="48">
        <f t="shared" si="98"/>
        <v>0.2064</v>
      </c>
      <c r="C340" s="48">
        <f t="shared" si="98"/>
        <v>0</v>
      </c>
      <c r="D340" s="43"/>
      <c r="E340" s="173"/>
      <c r="F340" s="43">
        <v>624640.18000000005</v>
      </c>
      <c r="G340" s="53">
        <v>1240.9100000000001</v>
      </c>
      <c r="H340" s="53">
        <v>48.35</v>
      </c>
      <c r="I340" s="53">
        <v>0</v>
      </c>
      <c r="L340" s="53">
        <f>G340+H340+I340-J340+K340</f>
        <v>1289.26</v>
      </c>
      <c r="N340" s="53">
        <f>L340-M340</f>
        <v>1289.26</v>
      </c>
      <c r="P340" s="53">
        <v>14.65</v>
      </c>
      <c r="Q340" s="53">
        <f>N340-O340-P340</f>
        <v>1274.6099999999999</v>
      </c>
    </row>
    <row r="341" spans="1:17">
      <c r="A341" s="67"/>
      <c r="B341" s="48"/>
      <c r="C341" s="48"/>
      <c r="D341" s="43"/>
      <c r="E341" s="173"/>
      <c r="F341" s="43"/>
    </row>
    <row r="342" spans="1:17" s="50" customFormat="1" ht="13.5" thickBot="1">
      <c r="A342" s="160" t="str">
        <f>"TOTAL "&amp; A333</f>
        <v>TOTAL WHITNEY TOWN</v>
      </c>
      <c r="B342" s="68">
        <f>B335</f>
        <v>0.2064</v>
      </c>
      <c r="C342" s="68">
        <f>C335</f>
        <v>0</v>
      </c>
      <c r="D342" s="69">
        <f t="shared" ref="D342:Q342" si="99">SUM(D335:D337,D339:D340)</f>
        <v>14138</v>
      </c>
      <c r="E342" s="204"/>
      <c r="F342" s="69">
        <f t="shared" si="99"/>
        <v>1656374086.98</v>
      </c>
      <c r="G342" s="70">
        <f t="shared" si="99"/>
        <v>26953.48</v>
      </c>
      <c r="H342" s="70">
        <f t="shared" si="99"/>
        <v>3320258.12</v>
      </c>
      <c r="I342" s="70">
        <f t="shared" si="99"/>
        <v>0</v>
      </c>
      <c r="J342" s="70">
        <f t="shared" si="99"/>
        <v>436704</v>
      </c>
      <c r="K342" s="70">
        <f t="shared" si="99"/>
        <v>0</v>
      </c>
      <c r="L342" s="70">
        <f t="shared" si="99"/>
        <v>2910507.5999999996</v>
      </c>
      <c r="M342" s="70">
        <f t="shared" si="99"/>
        <v>948254.86</v>
      </c>
      <c r="N342" s="70">
        <f t="shared" si="99"/>
        <v>1962252.74</v>
      </c>
      <c r="O342" s="70">
        <f t="shared" si="99"/>
        <v>0</v>
      </c>
      <c r="P342" s="70">
        <f t="shared" si="99"/>
        <v>1139.5</v>
      </c>
      <c r="Q342" s="70">
        <f t="shared" si="99"/>
        <v>1961113.24</v>
      </c>
    </row>
    <row r="343" spans="1:17">
      <c r="A343" s="150" t="s">
        <v>355</v>
      </c>
      <c r="B343" s="48"/>
      <c r="C343" s="48"/>
      <c r="D343" s="43"/>
      <c r="E343" s="173"/>
      <c r="F343" s="64">
        <v>1437620415</v>
      </c>
    </row>
    <row r="344" spans="1:17">
      <c r="A344" s="151" t="s">
        <v>30</v>
      </c>
      <c r="B344" s="51"/>
      <c r="C344" s="51"/>
      <c r="D344" s="52"/>
      <c r="E344" s="203"/>
      <c r="F344" s="152">
        <f>(F342-ROUND(J335/B335*100,0))-F343</f>
        <v>8762552.9800000191</v>
      </c>
    </row>
    <row r="346" spans="1:17">
      <c r="A346" s="54" t="s">
        <v>332</v>
      </c>
    </row>
    <row r="347" spans="1:17">
      <c r="E347" s="65">
        <v>25000000</v>
      </c>
    </row>
    <row r="348" spans="1:17">
      <c r="A348" s="49" t="s">
        <v>15</v>
      </c>
      <c r="B348" s="48">
        <v>0.2064</v>
      </c>
      <c r="C348" s="48">
        <v>0</v>
      </c>
      <c r="D348" s="382">
        <v>9247</v>
      </c>
      <c r="E348" s="173">
        <f>G348/B348*100</f>
        <v>2608691.8604651163</v>
      </c>
      <c r="F348" s="382">
        <v>4431569292</v>
      </c>
      <c r="G348" s="53">
        <v>5384.34</v>
      </c>
      <c r="H348" s="53">
        <v>6371437.7699999996</v>
      </c>
      <c r="I348" s="53">
        <v>0</v>
      </c>
      <c r="J348" s="383">
        <v>1655276.72</v>
      </c>
      <c r="K348" s="53">
        <v>0</v>
      </c>
      <c r="L348" s="53">
        <f>G348+H348+I348-J348+K348</f>
        <v>4721545.3899999997</v>
      </c>
      <c r="M348" s="383">
        <v>1117473.8599999999</v>
      </c>
      <c r="N348" s="53">
        <f>L348-M348</f>
        <v>3604071.53</v>
      </c>
      <c r="O348" s="53">
        <v>0</v>
      </c>
      <c r="P348" s="53">
        <v>0</v>
      </c>
      <c r="Q348" s="53">
        <f>N348-O348-P348</f>
        <v>3604071.53</v>
      </c>
    </row>
    <row r="349" spans="1:17">
      <c r="A349" s="47" t="s">
        <v>16</v>
      </c>
      <c r="B349" s="48">
        <f>B$348</f>
        <v>0.2064</v>
      </c>
      <c r="C349" s="48">
        <f>C$348</f>
        <v>0</v>
      </c>
      <c r="D349" s="43"/>
      <c r="E349" s="173"/>
      <c r="F349" s="65">
        <f>IF(E347&gt;E348,E347-E348,0)</f>
        <v>22391308.139534883</v>
      </c>
      <c r="G349" s="53">
        <f>F349*(B349-C349)/100</f>
        <v>46215.66</v>
      </c>
      <c r="I349" s="53">
        <f>F349*C349/100</f>
        <v>0</v>
      </c>
      <c r="L349" s="53">
        <f>G349+H349+I349-J349+K349</f>
        <v>46215.66</v>
      </c>
      <c r="N349" s="53">
        <f>L349-M349</f>
        <v>46215.66</v>
      </c>
      <c r="Q349" s="53">
        <f>N349-O349-P349</f>
        <v>46215.66</v>
      </c>
    </row>
    <row r="350" spans="1:17">
      <c r="A350" s="47" t="s">
        <v>17</v>
      </c>
      <c r="B350" s="48">
        <f t="shared" ref="B350:C353" si="100">B$348</f>
        <v>0.2064</v>
      </c>
      <c r="C350" s="48">
        <f t="shared" si="100"/>
        <v>0</v>
      </c>
      <c r="D350" s="43"/>
      <c r="E350" s="173"/>
      <c r="F350" s="66">
        <v>200000000</v>
      </c>
      <c r="H350" s="53">
        <f>G350*(B350-C350)/100</f>
        <v>0</v>
      </c>
      <c r="I350" s="53">
        <v>0</v>
      </c>
      <c r="J350" s="53">
        <v>0</v>
      </c>
      <c r="K350" s="53">
        <v>0</v>
      </c>
      <c r="L350" s="53">
        <f>G350+H350+I350-J350+K350</f>
        <v>0</v>
      </c>
      <c r="M350" s="53">
        <v>0</v>
      </c>
      <c r="N350" s="53">
        <f>L350-M350</f>
        <v>0</v>
      </c>
      <c r="O350" s="53">
        <v>0</v>
      </c>
      <c r="P350" s="53">
        <v>0</v>
      </c>
      <c r="Q350" s="53">
        <f>N350-O350-P350</f>
        <v>0</v>
      </c>
    </row>
    <row r="351" spans="1:17">
      <c r="A351" s="47" t="s">
        <v>18</v>
      </c>
      <c r="B351" s="48"/>
      <c r="C351" s="48"/>
      <c r="D351" s="43"/>
      <c r="E351" s="173"/>
      <c r="F351" s="43"/>
    </row>
    <row r="352" spans="1:17">
      <c r="A352" s="67" t="s">
        <v>19</v>
      </c>
      <c r="B352" s="48">
        <f t="shared" si="100"/>
        <v>0.2064</v>
      </c>
      <c r="C352" s="48">
        <f t="shared" si="100"/>
        <v>0</v>
      </c>
      <c r="D352" s="43"/>
      <c r="E352" s="173"/>
      <c r="F352" s="43">
        <v>26392644.98</v>
      </c>
      <c r="G352" s="53">
        <v>10466.56</v>
      </c>
      <c r="H352" s="53">
        <v>44012.26</v>
      </c>
      <c r="I352" s="53">
        <v>0</v>
      </c>
      <c r="J352" s="53">
        <v>2115.6</v>
      </c>
      <c r="K352" s="53">
        <v>0</v>
      </c>
      <c r="L352" s="53">
        <f>G352+H352+I352-J352+K352</f>
        <v>52363.22</v>
      </c>
      <c r="M352" s="53">
        <v>208.4</v>
      </c>
      <c r="N352" s="53">
        <f>L352-M352</f>
        <v>52154.82</v>
      </c>
      <c r="O352" s="53">
        <v>4788.6499999999996</v>
      </c>
      <c r="P352" s="53">
        <v>847.97</v>
      </c>
      <c r="Q352" s="53">
        <f>N352-O352-P352</f>
        <v>46518.2</v>
      </c>
    </row>
    <row r="353" spans="1:19">
      <c r="A353" s="67" t="s">
        <v>20</v>
      </c>
      <c r="B353" s="48">
        <f t="shared" si="100"/>
        <v>0.2064</v>
      </c>
      <c r="C353" s="48">
        <f t="shared" si="100"/>
        <v>0</v>
      </c>
      <c r="D353" s="43"/>
      <c r="E353" s="173"/>
      <c r="F353" s="43">
        <v>477865.69</v>
      </c>
      <c r="G353" s="53">
        <v>956.3</v>
      </c>
      <c r="H353" s="53">
        <v>29.88</v>
      </c>
      <c r="I353" s="53">
        <v>0</v>
      </c>
      <c r="J353" s="53">
        <v>0</v>
      </c>
      <c r="K353" s="53">
        <v>0</v>
      </c>
      <c r="L353" s="53">
        <f>G353+H353+I353-J353+K353</f>
        <v>986.18</v>
      </c>
      <c r="M353" s="53">
        <v>0.01</v>
      </c>
      <c r="N353" s="53">
        <f>L353-M353</f>
        <v>986.17</v>
      </c>
      <c r="O353" s="53">
        <v>54.69</v>
      </c>
      <c r="P353" s="53">
        <v>11.04</v>
      </c>
      <c r="Q353" s="53">
        <f>N353-O353-P353</f>
        <v>920.44</v>
      </c>
    </row>
    <row r="354" spans="1:19">
      <c r="A354" s="47"/>
      <c r="B354" s="48"/>
      <c r="C354" s="48"/>
      <c r="D354" s="43"/>
      <c r="E354" s="173"/>
      <c r="F354" s="43"/>
    </row>
    <row r="355" spans="1:19" s="50" customFormat="1" ht="13.5" thickBot="1">
      <c r="A355" s="160" t="str">
        <f>"TOTAL "&amp; A346</f>
        <v>TOTAL WINCHESTER TOWN</v>
      </c>
      <c r="B355" s="68">
        <f>B348</f>
        <v>0.2064</v>
      </c>
      <c r="C355" s="68">
        <f>C348</f>
        <v>0</v>
      </c>
      <c r="D355" s="69">
        <f t="shared" ref="D355:Q355" si="101">SUM(D348:D350,D352:D353)</f>
        <v>9247</v>
      </c>
      <c r="E355" s="204"/>
      <c r="F355" s="69">
        <f t="shared" si="101"/>
        <v>4680831110.8095341</v>
      </c>
      <c r="G355" s="70">
        <f t="shared" si="101"/>
        <v>63022.86</v>
      </c>
      <c r="H355" s="70">
        <f t="shared" si="101"/>
        <v>6415479.9099999992</v>
      </c>
      <c r="I355" s="70">
        <f t="shared" si="101"/>
        <v>0</v>
      </c>
      <c r="J355" s="70">
        <f t="shared" si="101"/>
        <v>1657392.32</v>
      </c>
      <c r="K355" s="70">
        <f t="shared" si="101"/>
        <v>0</v>
      </c>
      <c r="L355" s="70">
        <f t="shared" si="101"/>
        <v>4821110.4499999993</v>
      </c>
      <c r="M355" s="70">
        <f t="shared" si="101"/>
        <v>1117682.2699999998</v>
      </c>
      <c r="N355" s="70">
        <f t="shared" si="101"/>
        <v>3703428.1799999997</v>
      </c>
      <c r="O355" s="70">
        <f t="shared" si="101"/>
        <v>4843.3399999999992</v>
      </c>
      <c r="P355" s="70">
        <f t="shared" si="101"/>
        <v>859.01</v>
      </c>
      <c r="Q355" s="70">
        <f t="shared" si="101"/>
        <v>3697725.83</v>
      </c>
    </row>
    <row r="356" spans="1:19">
      <c r="A356" s="150" t="s">
        <v>355</v>
      </c>
      <c r="B356" s="48"/>
      <c r="C356" s="48"/>
      <c r="D356" s="43"/>
      <c r="E356" s="173"/>
      <c r="F356" s="64">
        <v>2556742528</v>
      </c>
    </row>
    <row r="357" spans="1:19">
      <c r="A357" s="151" t="s">
        <v>30</v>
      </c>
      <c r="B357" s="51"/>
      <c r="C357" s="51"/>
      <c r="D357" s="52"/>
      <c r="E357" s="203"/>
      <c r="F357" s="152">
        <f>(F355-ROUND(J348/B348*100,0))-F356</f>
        <v>1322113427.8095341</v>
      </c>
    </row>
    <row r="358" spans="1:19">
      <c r="A358" s="54" t="s">
        <v>293</v>
      </c>
      <c r="B358" s="50"/>
      <c r="C358" s="50"/>
      <c r="D358" s="50"/>
      <c r="E358" s="211"/>
      <c r="F358" s="50"/>
      <c r="G358" s="59"/>
    </row>
    <row r="359" spans="1:19">
      <c r="E359" s="65">
        <v>7000000</v>
      </c>
    </row>
    <row r="360" spans="1:19">
      <c r="A360" s="49" t="s">
        <v>15</v>
      </c>
      <c r="B360" s="48">
        <v>0.22220000000000001</v>
      </c>
      <c r="C360" s="48">
        <v>0</v>
      </c>
      <c r="D360" s="43">
        <v>7847</v>
      </c>
      <c r="E360" s="173">
        <f>G360/B360*100</f>
        <v>198361.83618361835</v>
      </c>
      <c r="F360" s="43">
        <v>1247026081</v>
      </c>
      <c r="G360" s="53">
        <v>440.76</v>
      </c>
      <c r="H360" s="53">
        <v>2394357.5699999998</v>
      </c>
      <c r="I360" s="53">
        <v>0</v>
      </c>
      <c r="J360" s="53">
        <v>601625.05000000005</v>
      </c>
      <c r="K360" s="53">
        <v>0</v>
      </c>
      <c r="L360" s="53">
        <f>G360+H360+I360-J360+K360</f>
        <v>1793173.2799999996</v>
      </c>
      <c r="M360" s="53">
        <v>817280.95</v>
      </c>
      <c r="N360" s="53">
        <f>L360-M360</f>
        <v>975892.32999999961</v>
      </c>
      <c r="O360" s="53">
        <v>0</v>
      </c>
      <c r="P360" s="53">
        <v>0</v>
      </c>
      <c r="Q360" s="53">
        <f>N360-O360-P360</f>
        <v>975892.32999999961</v>
      </c>
    </row>
    <row r="361" spans="1:19">
      <c r="A361" s="47" t="s">
        <v>16</v>
      </c>
      <c r="B361" s="48">
        <f>B$360</f>
        <v>0.22220000000000001</v>
      </c>
      <c r="C361" s="48">
        <f>C$360</f>
        <v>0</v>
      </c>
      <c r="D361" s="43"/>
      <c r="E361" s="173"/>
      <c r="F361" s="65">
        <f>IF(E359&gt;E360,E359-E360,0)</f>
        <v>6801638.1638163812</v>
      </c>
      <c r="G361" s="53">
        <f>F361*(B361-C361)/100</f>
        <v>15113.24</v>
      </c>
      <c r="I361" s="53">
        <f>F361*C361/100</f>
        <v>0</v>
      </c>
      <c r="L361" s="53">
        <f>G361+H361+I361-J361+K361</f>
        <v>15113.24</v>
      </c>
      <c r="N361" s="53">
        <f>L361-M361</f>
        <v>15113.24</v>
      </c>
      <c r="Q361" s="53">
        <f>N361-O361-P361</f>
        <v>15113.24</v>
      </c>
    </row>
    <row r="362" spans="1:19">
      <c r="A362" s="47" t="s">
        <v>17</v>
      </c>
      <c r="B362" s="48">
        <f t="shared" ref="B362:C365" si="102">B$360</f>
        <v>0.22220000000000001</v>
      </c>
      <c r="C362" s="48">
        <f t="shared" si="102"/>
        <v>0</v>
      </c>
      <c r="D362" s="43"/>
      <c r="E362" s="173"/>
      <c r="F362" s="66">
        <v>190000000</v>
      </c>
      <c r="H362" s="53">
        <f>F362*(B362-C362)/100</f>
        <v>422180</v>
      </c>
      <c r="I362" s="53">
        <f>F362*C362/100</f>
        <v>0</v>
      </c>
      <c r="J362" s="53">
        <v>0</v>
      </c>
      <c r="K362" s="53">
        <v>0</v>
      </c>
      <c r="L362" s="53">
        <f>G362+H362+I362-J362+K362</f>
        <v>422180</v>
      </c>
      <c r="M362" s="53">
        <v>0</v>
      </c>
      <c r="N362" s="53">
        <f>L362-M362</f>
        <v>422180</v>
      </c>
      <c r="O362" s="53">
        <v>0</v>
      </c>
      <c r="P362" s="53">
        <v>0</v>
      </c>
      <c r="Q362" s="53">
        <f>N362-O362-P362</f>
        <v>422180</v>
      </c>
    </row>
    <row r="363" spans="1:19">
      <c r="A363" s="47" t="s">
        <v>18</v>
      </c>
      <c r="B363" s="48"/>
      <c r="C363" s="48"/>
      <c r="D363" s="43"/>
      <c r="E363" s="173"/>
      <c r="F363" s="43"/>
    </row>
    <row r="364" spans="1:19">
      <c r="A364" s="67" t="s">
        <v>19</v>
      </c>
      <c r="B364" s="48">
        <f t="shared" si="102"/>
        <v>0.22220000000000001</v>
      </c>
      <c r="C364" s="48">
        <f t="shared" si="102"/>
        <v>0</v>
      </c>
      <c r="D364" s="43"/>
      <c r="E364" s="173"/>
      <c r="F364" s="43">
        <v>106439871.54000001</v>
      </c>
      <c r="G364" s="53">
        <v>95321.9</v>
      </c>
      <c r="H364" s="53">
        <v>141217.46</v>
      </c>
      <c r="I364" s="53">
        <v>0</v>
      </c>
      <c r="J364" s="53">
        <v>13473.75</v>
      </c>
      <c r="K364" s="53">
        <v>0</v>
      </c>
      <c r="L364" s="53">
        <f>G364+H364+I364-J364+K364</f>
        <v>223065.61</v>
      </c>
      <c r="M364" s="53">
        <v>55221.23</v>
      </c>
      <c r="N364" s="53">
        <f>L364-M364</f>
        <v>167844.37999999998</v>
      </c>
      <c r="O364" s="53">
        <v>7092.67</v>
      </c>
      <c r="P364" s="53">
        <v>353.35</v>
      </c>
      <c r="Q364" s="53">
        <f>N364-O364-P364</f>
        <v>160398.35999999996</v>
      </c>
      <c r="S364" s="53"/>
    </row>
    <row r="365" spans="1:19">
      <c r="A365" s="67" t="s">
        <v>20</v>
      </c>
      <c r="B365" s="48">
        <f t="shared" si="102"/>
        <v>0.22220000000000001</v>
      </c>
      <c r="C365" s="48">
        <f t="shared" si="102"/>
        <v>0</v>
      </c>
      <c r="D365" s="43"/>
      <c r="E365" s="173"/>
      <c r="F365" s="43">
        <v>8509689.3599999994</v>
      </c>
      <c r="G365" s="53">
        <v>18575.38</v>
      </c>
      <c r="H365" s="53">
        <v>333.13</v>
      </c>
      <c r="I365" s="53">
        <v>0</v>
      </c>
      <c r="J365" s="53">
        <v>0</v>
      </c>
      <c r="K365" s="53">
        <v>0</v>
      </c>
      <c r="L365" s="53">
        <f>G365+H365+I365-J365+K365</f>
        <v>18908.510000000002</v>
      </c>
      <c r="N365" s="53">
        <f>L365-M365</f>
        <v>18908.510000000002</v>
      </c>
      <c r="O365" s="53">
        <v>148.44999999999999</v>
      </c>
      <c r="P365" s="53">
        <v>8.0399999999999991</v>
      </c>
      <c r="Q365" s="53">
        <f>N365-O365-P365</f>
        <v>18752.02</v>
      </c>
    </row>
    <row r="366" spans="1:19">
      <c r="A366" s="47"/>
      <c r="B366" s="48"/>
      <c r="C366" s="48"/>
      <c r="D366" s="43"/>
      <c r="E366" s="173"/>
      <c r="F366" s="43"/>
    </row>
    <row r="367" spans="1:19" s="50" customFormat="1" ht="13.5" thickBot="1">
      <c r="A367" s="160" t="str">
        <f>"TOTAL "&amp; A358</f>
        <v>TOTAL BOULDER CITY LIBRARY</v>
      </c>
      <c r="B367" s="68">
        <f>B360</f>
        <v>0.22220000000000001</v>
      </c>
      <c r="C367" s="68">
        <f>C360</f>
        <v>0</v>
      </c>
      <c r="D367" s="69">
        <f t="shared" ref="D367:Q367" si="103">SUM(D360:D362,D364:D365)</f>
        <v>7847</v>
      </c>
      <c r="E367" s="204"/>
      <c r="F367" s="69">
        <f t="shared" si="103"/>
        <v>1558777280.0638163</v>
      </c>
      <c r="G367" s="70">
        <f t="shared" si="103"/>
        <v>129451.28</v>
      </c>
      <c r="H367" s="70">
        <f t="shared" si="103"/>
        <v>2958088.1599999997</v>
      </c>
      <c r="I367" s="70">
        <f t="shared" si="103"/>
        <v>0</v>
      </c>
      <c r="J367" s="70">
        <f t="shared" si="103"/>
        <v>615098.80000000005</v>
      </c>
      <c r="K367" s="70">
        <f t="shared" si="103"/>
        <v>0</v>
      </c>
      <c r="L367" s="70">
        <f t="shared" si="103"/>
        <v>2472440.6399999992</v>
      </c>
      <c r="M367" s="70">
        <f t="shared" si="103"/>
        <v>872502.17999999993</v>
      </c>
      <c r="N367" s="70">
        <f t="shared" si="103"/>
        <v>1599938.4599999995</v>
      </c>
      <c r="O367" s="70">
        <f t="shared" si="103"/>
        <v>7241.12</v>
      </c>
      <c r="P367" s="70">
        <f t="shared" si="103"/>
        <v>361.39000000000004</v>
      </c>
      <c r="Q367" s="70">
        <f t="shared" si="103"/>
        <v>1592335.9499999995</v>
      </c>
    </row>
    <row r="368" spans="1:19">
      <c r="A368" s="150" t="s">
        <v>355</v>
      </c>
      <c r="B368" s="48"/>
      <c r="C368" s="48"/>
      <c r="D368" s="43"/>
      <c r="E368" s="173"/>
      <c r="F368" s="64">
        <v>1085461766</v>
      </c>
    </row>
    <row r="369" spans="1:17">
      <c r="A369" s="151" t="s">
        <v>30</v>
      </c>
      <c r="B369" s="51"/>
      <c r="C369" s="51"/>
      <c r="D369" s="52"/>
      <c r="E369" s="203"/>
      <c r="F369" s="152">
        <f>(F367-ROUND(J360/B360*100,0))-F368</f>
        <v>202557166.06381631</v>
      </c>
    </row>
    <row r="370" spans="1:17" hidden="1">
      <c r="A370" s="54" t="s">
        <v>395</v>
      </c>
    </row>
    <row r="371" spans="1:17" hidden="1">
      <c r="A371" s="83"/>
      <c r="B371" s="85"/>
      <c r="C371" s="85"/>
      <c r="D371" s="85"/>
      <c r="E371" s="65"/>
      <c r="F371" s="85"/>
      <c r="G371" s="86"/>
    </row>
    <row r="372" spans="1:17" hidden="1">
      <c r="A372" s="49" t="s">
        <v>15</v>
      </c>
      <c r="B372" s="48">
        <v>0</v>
      </c>
      <c r="C372" s="48"/>
      <c r="D372" s="43"/>
      <c r="E372" s="173" t="e">
        <f>G372/B372*100</f>
        <v>#DIV/0!</v>
      </c>
      <c r="F372" s="43"/>
      <c r="I372" s="53">
        <f>F372*C372/100</f>
        <v>0</v>
      </c>
      <c r="L372" s="53">
        <f>G372+H372+I372-J372+K372</f>
        <v>0</v>
      </c>
      <c r="N372" s="53">
        <f>L372-M372</f>
        <v>0</v>
      </c>
      <c r="Q372" s="53">
        <f>N372-O372-P372</f>
        <v>0</v>
      </c>
    </row>
    <row r="373" spans="1:17" hidden="1">
      <c r="A373" s="47" t="s">
        <v>16</v>
      </c>
      <c r="B373" s="48">
        <f>B$372</f>
        <v>0</v>
      </c>
      <c r="C373" s="48">
        <f>C$372</f>
        <v>0</v>
      </c>
      <c r="D373" s="43"/>
      <c r="E373" s="173"/>
      <c r="F373" s="65"/>
      <c r="G373" s="53">
        <f>F373*(B373-C373)/100</f>
        <v>0</v>
      </c>
      <c r="I373" s="53">
        <f>F373*C373/100</f>
        <v>0</v>
      </c>
      <c r="L373" s="53">
        <f>G373+H373+I373-J373+K373</f>
        <v>0</v>
      </c>
      <c r="N373" s="53">
        <f>L373-M373</f>
        <v>0</v>
      </c>
      <c r="Q373" s="53">
        <f>N373-O373-P373</f>
        <v>0</v>
      </c>
    </row>
    <row r="374" spans="1:17" hidden="1">
      <c r="A374" s="47" t="s">
        <v>17</v>
      </c>
      <c r="B374" s="48">
        <f t="shared" ref="B374:C377" si="104">B$372</f>
        <v>0</v>
      </c>
      <c r="C374" s="48">
        <f t="shared" si="104"/>
        <v>0</v>
      </c>
      <c r="D374" s="43"/>
      <c r="E374" s="173"/>
      <c r="F374" s="66"/>
      <c r="H374" s="53">
        <f>F374*(B374-C374)/100</f>
        <v>0</v>
      </c>
      <c r="I374" s="53">
        <f>F374*C374/100</f>
        <v>0</v>
      </c>
      <c r="L374" s="53">
        <f>G374+H374+I374-J374+K374</f>
        <v>0</v>
      </c>
      <c r="N374" s="53">
        <f>L374-M374</f>
        <v>0</v>
      </c>
      <c r="Q374" s="53">
        <f>N374-O374-P374</f>
        <v>0</v>
      </c>
    </row>
    <row r="375" spans="1:17" hidden="1">
      <c r="A375" s="47" t="s">
        <v>18</v>
      </c>
      <c r="B375" s="48"/>
      <c r="C375" s="48"/>
      <c r="D375" s="43"/>
      <c r="E375" s="173"/>
      <c r="F375" s="43"/>
    </row>
    <row r="376" spans="1:17" hidden="1">
      <c r="A376" s="67" t="s">
        <v>19</v>
      </c>
      <c r="B376" s="48">
        <f t="shared" si="104"/>
        <v>0</v>
      </c>
      <c r="C376" s="48">
        <f t="shared" si="104"/>
        <v>0</v>
      </c>
      <c r="D376" s="43"/>
      <c r="E376" s="173"/>
      <c r="F376" s="43"/>
      <c r="Q376" s="53">
        <f>N376-O376-P376</f>
        <v>0</v>
      </c>
    </row>
    <row r="377" spans="1:17" hidden="1">
      <c r="A377" s="67" t="s">
        <v>20</v>
      </c>
      <c r="B377" s="48">
        <f t="shared" si="104"/>
        <v>0</v>
      </c>
      <c r="C377" s="48">
        <f t="shared" si="104"/>
        <v>0</v>
      </c>
      <c r="D377" s="43"/>
      <c r="E377" s="173"/>
      <c r="F377" s="43"/>
      <c r="I377" s="53">
        <v>0</v>
      </c>
      <c r="K377" s="53">
        <v>0</v>
      </c>
      <c r="L377" s="53">
        <f>G377+H377+I377-J377+K377</f>
        <v>0</v>
      </c>
      <c r="N377" s="53">
        <f>L377-M377</f>
        <v>0</v>
      </c>
      <c r="Q377" s="53">
        <f>N377-O377-P377</f>
        <v>0</v>
      </c>
    </row>
    <row r="378" spans="1:17" hidden="1">
      <c r="A378" s="47"/>
      <c r="B378" s="48"/>
      <c r="C378" s="48"/>
      <c r="D378" s="43"/>
      <c r="E378" s="173"/>
      <c r="F378" s="43"/>
    </row>
    <row r="379" spans="1:17" s="50" customFormat="1" ht="13.5" hidden="1" thickBot="1">
      <c r="A379" s="160" t="str">
        <f>"TOTAL "&amp; A370</f>
        <v>TOTAL BOULDER CITY LIBRARY DEBT</v>
      </c>
      <c r="B379" s="68">
        <f>B372</f>
        <v>0</v>
      </c>
      <c r="C379" s="68">
        <f>C372</f>
        <v>0</v>
      </c>
      <c r="D379" s="69">
        <f t="shared" ref="D379:Q379" si="105">SUM(D372:D374,D376:D377)</f>
        <v>0</v>
      </c>
      <c r="E379" s="204"/>
      <c r="F379" s="69">
        <f t="shared" si="105"/>
        <v>0</v>
      </c>
      <c r="G379" s="70">
        <f t="shared" si="105"/>
        <v>0</v>
      </c>
      <c r="H379" s="70">
        <f t="shared" si="105"/>
        <v>0</v>
      </c>
      <c r="I379" s="70">
        <f t="shared" si="105"/>
        <v>0</v>
      </c>
      <c r="J379" s="70">
        <f t="shared" si="105"/>
        <v>0</v>
      </c>
      <c r="K379" s="70">
        <f t="shared" si="105"/>
        <v>0</v>
      </c>
      <c r="L379" s="70">
        <f t="shared" si="105"/>
        <v>0</v>
      </c>
      <c r="M379" s="70">
        <f t="shared" si="105"/>
        <v>0</v>
      </c>
      <c r="N379" s="70">
        <f t="shared" si="105"/>
        <v>0</v>
      </c>
      <c r="O379" s="70">
        <f t="shared" si="105"/>
        <v>0</v>
      </c>
      <c r="P379" s="70">
        <f t="shared" si="105"/>
        <v>0</v>
      </c>
      <c r="Q379" s="70">
        <f t="shared" si="105"/>
        <v>0</v>
      </c>
    </row>
    <row r="380" spans="1:17" hidden="1">
      <c r="A380" s="150" t="s">
        <v>355</v>
      </c>
      <c r="B380" s="48"/>
      <c r="C380" s="48"/>
      <c r="D380" s="43"/>
      <c r="E380" s="173"/>
      <c r="F380" s="64"/>
    </row>
    <row r="381" spans="1:17" hidden="1">
      <c r="A381" s="151" t="s">
        <v>30</v>
      </c>
      <c r="B381" s="51"/>
      <c r="C381" s="51"/>
      <c r="D381" s="52"/>
      <c r="E381" s="203"/>
      <c r="F381" s="152" t="e">
        <f>(F379-ROUND(J379/B379,0))-F380</f>
        <v>#DIV/0!</v>
      </c>
    </row>
    <row r="382" spans="1:17">
      <c r="A382" s="54" t="s">
        <v>294</v>
      </c>
      <c r="B382" s="84"/>
      <c r="C382" s="84"/>
      <c r="D382" s="84"/>
      <c r="E382" s="210"/>
      <c r="F382" s="84"/>
      <c r="G382" s="59"/>
    </row>
    <row r="383" spans="1:17">
      <c r="E383" s="65">
        <v>1000000</v>
      </c>
    </row>
    <row r="384" spans="1:17">
      <c r="A384" s="49" t="s">
        <v>15</v>
      </c>
      <c r="B384" s="48"/>
      <c r="C384" s="48"/>
      <c r="D384" s="43">
        <v>865</v>
      </c>
      <c r="E384" s="173"/>
      <c r="F384" s="43">
        <v>219201124</v>
      </c>
      <c r="G384" s="53">
        <v>7477.64</v>
      </c>
      <c r="H384" s="53">
        <v>3459096.37</v>
      </c>
      <c r="I384" s="53">
        <f>F384*C384/100</f>
        <v>0</v>
      </c>
      <c r="J384" s="53">
        <v>1395227.53</v>
      </c>
      <c r="K384" s="53">
        <v>0</v>
      </c>
      <c r="L384" s="53">
        <f>G384+H384+I384-J384+K384</f>
        <v>2071346.4800000002</v>
      </c>
      <c r="M384" s="53">
        <v>242949.89</v>
      </c>
      <c r="N384" s="53">
        <f>L384-M384</f>
        <v>1828396.5900000003</v>
      </c>
      <c r="O384" s="53">
        <v>0</v>
      </c>
      <c r="P384" s="53">
        <v>0</v>
      </c>
      <c r="Q384" s="53">
        <f>N384-O384-P384</f>
        <v>1828396.5900000003</v>
      </c>
    </row>
    <row r="385" spans="1:17">
      <c r="A385" s="47" t="s">
        <v>16</v>
      </c>
      <c r="B385" s="48">
        <f>B$384</f>
        <v>0</v>
      </c>
      <c r="C385" s="48">
        <f>C$384</f>
        <v>0</v>
      </c>
      <c r="D385" s="43"/>
      <c r="E385" s="173"/>
      <c r="F385" s="65">
        <f>IF(E383&gt;E384,E383-E384,0)</f>
        <v>1000000</v>
      </c>
      <c r="I385" s="53">
        <f>F385*C385/100</f>
        <v>0</v>
      </c>
      <c r="L385" s="53">
        <f>G385+H385+I385-J385+K385</f>
        <v>0</v>
      </c>
      <c r="N385" s="53">
        <f>L385-M385</f>
        <v>0</v>
      </c>
      <c r="Q385" s="53">
        <f>N385-O385-P385</f>
        <v>0</v>
      </c>
    </row>
    <row r="386" spans="1:17">
      <c r="A386" s="47" t="s">
        <v>17</v>
      </c>
      <c r="B386" s="48">
        <f t="shared" ref="B386:C389" si="106">B$384</f>
        <v>0</v>
      </c>
      <c r="C386" s="48">
        <f t="shared" si="106"/>
        <v>0</v>
      </c>
      <c r="D386" s="43"/>
      <c r="E386" s="173"/>
      <c r="F386" s="66">
        <v>3000000</v>
      </c>
      <c r="G386" s="53">
        <v>0</v>
      </c>
      <c r="H386" s="53">
        <v>0</v>
      </c>
      <c r="I386" s="53">
        <f>F386*C386/100</f>
        <v>0</v>
      </c>
      <c r="J386" s="53">
        <v>0</v>
      </c>
      <c r="K386" s="53">
        <v>0</v>
      </c>
      <c r="L386" s="53">
        <f>G386+H386+I386-J386+K386</f>
        <v>0</v>
      </c>
      <c r="M386" s="53">
        <v>0</v>
      </c>
      <c r="N386" s="53">
        <f>L386-M386</f>
        <v>0</v>
      </c>
      <c r="O386" s="53">
        <v>0</v>
      </c>
      <c r="P386" s="53">
        <v>0</v>
      </c>
      <c r="Q386" s="53">
        <f>N386-O386-P386</f>
        <v>0</v>
      </c>
    </row>
    <row r="387" spans="1:17">
      <c r="A387" s="47" t="s">
        <v>18</v>
      </c>
      <c r="B387" s="48"/>
      <c r="C387" s="48"/>
      <c r="D387" s="43"/>
      <c r="E387" s="173"/>
      <c r="F387" s="43"/>
    </row>
    <row r="388" spans="1:17">
      <c r="A388" s="67" t="s">
        <v>19</v>
      </c>
      <c r="B388" s="48">
        <f t="shared" si="106"/>
        <v>0</v>
      </c>
      <c r="C388" s="48">
        <f t="shared" si="106"/>
        <v>0</v>
      </c>
      <c r="D388" s="43"/>
      <c r="E388" s="173"/>
      <c r="F388" s="43">
        <v>3632881.22</v>
      </c>
      <c r="G388" s="53">
        <v>0</v>
      </c>
      <c r="H388" s="53">
        <v>0</v>
      </c>
      <c r="I388" s="53">
        <v>0</v>
      </c>
      <c r="J388" s="53">
        <v>0</v>
      </c>
      <c r="K388" s="53">
        <v>0</v>
      </c>
      <c r="L388" s="53">
        <f>G388+H388+I388-J388+K388</f>
        <v>0</v>
      </c>
      <c r="M388" s="53">
        <v>0</v>
      </c>
      <c r="N388" s="53">
        <f>L388-M388</f>
        <v>0</v>
      </c>
      <c r="O388" s="53">
        <v>0</v>
      </c>
      <c r="P388" s="53">
        <v>0</v>
      </c>
      <c r="Q388" s="53">
        <f>N388-O388-P388</f>
        <v>0</v>
      </c>
    </row>
    <row r="389" spans="1:17">
      <c r="A389" s="67" t="s">
        <v>20</v>
      </c>
      <c r="B389" s="48">
        <f t="shared" si="106"/>
        <v>0</v>
      </c>
      <c r="C389" s="48">
        <f t="shared" si="106"/>
        <v>0</v>
      </c>
      <c r="D389" s="43"/>
      <c r="E389" s="173"/>
      <c r="F389" s="43">
        <v>84347.83</v>
      </c>
      <c r="G389" s="53">
        <v>0</v>
      </c>
      <c r="H389" s="53">
        <v>0</v>
      </c>
      <c r="I389" s="53">
        <v>0</v>
      </c>
      <c r="J389" s="53">
        <v>0</v>
      </c>
      <c r="K389" s="53">
        <v>0</v>
      </c>
      <c r="L389" s="53">
        <f>G389+H389+I389-J389+K389</f>
        <v>0</v>
      </c>
      <c r="M389" s="53">
        <v>0</v>
      </c>
      <c r="N389" s="53">
        <f>L389-M389</f>
        <v>0</v>
      </c>
      <c r="O389" s="53">
        <v>0</v>
      </c>
      <c r="P389" s="53">
        <v>0</v>
      </c>
      <c r="Q389" s="53">
        <f>N389-O389-P389</f>
        <v>0</v>
      </c>
    </row>
    <row r="390" spans="1:17">
      <c r="A390" s="47"/>
      <c r="B390" s="48"/>
      <c r="C390" s="48"/>
      <c r="D390" s="43"/>
      <c r="E390" s="173"/>
      <c r="F390" s="43"/>
    </row>
    <row r="391" spans="1:17" s="50" customFormat="1" ht="13.5" thickBot="1">
      <c r="A391" s="160" t="str">
        <f>"TOTAL "&amp; A382</f>
        <v>TOTAL BOULDER CITY REDEVELOPMENT</v>
      </c>
      <c r="B391" s="68">
        <f>B384</f>
        <v>0</v>
      </c>
      <c r="C391" s="68">
        <f>C384</f>
        <v>0</v>
      </c>
      <c r="D391" s="69">
        <f t="shared" ref="D391:Q391" si="107">SUM(D384:D386,D388:D389)</f>
        <v>865</v>
      </c>
      <c r="E391" s="204"/>
      <c r="F391" s="69">
        <f t="shared" si="107"/>
        <v>226918353.05000001</v>
      </c>
      <c r="G391" s="70">
        <f t="shared" si="107"/>
        <v>7477.64</v>
      </c>
      <c r="H391" s="70">
        <f t="shared" si="107"/>
        <v>3459096.37</v>
      </c>
      <c r="I391" s="70">
        <f t="shared" si="107"/>
        <v>0</v>
      </c>
      <c r="J391" s="70">
        <f t="shared" si="107"/>
        <v>1395227.53</v>
      </c>
      <c r="K391" s="70">
        <f t="shared" si="107"/>
        <v>0</v>
      </c>
      <c r="L391" s="70">
        <f t="shared" si="107"/>
        <v>2071346.4800000002</v>
      </c>
      <c r="M391" s="70">
        <f t="shared" si="107"/>
        <v>242949.89</v>
      </c>
      <c r="N391" s="70">
        <f t="shared" si="107"/>
        <v>1828396.5900000003</v>
      </c>
      <c r="O391" s="70">
        <f t="shared" si="107"/>
        <v>0</v>
      </c>
      <c r="P391" s="70">
        <f t="shared" si="107"/>
        <v>0</v>
      </c>
      <c r="Q391" s="70">
        <f t="shared" si="107"/>
        <v>1828396.5900000003</v>
      </c>
    </row>
    <row r="392" spans="1:17">
      <c r="A392" s="150" t="s">
        <v>355</v>
      </c>
      <c r="B392" s="48"/>
      <c r="C392" s="48"/>
      <c r="D392" s="43"/>
      <c r="E392" s="173"/>
      <c r="F392" s="64">
        <v>109864524</v>
      </c>
    </row>
    <row r="393" spans="1:17">
      <c r="A393" s="151" t="s">
        <v>30</v>
      </c>
      <c r="B393" s="51"/>
      <c r="C393" s="51"/>
      <c r="D393" s="52"/>
      <c r="E393" s="203"/>
      <c r="F393" s="152"/>
    </row>
    <row r="394" spans="1:17">
      <c r="A394" s="54" t="s">
        <v>333</v>
      </c>
    </row>
    <row r="395" spans="1:17">
      <c r="E395" s="65">
        <v>1100000000</v>
      </c>
    </row>
    <row r="396" spans="1:17">
      <c r="A396" s="49" t="s">
        <v>15</v>
      </c>
      <c r="B396" s="48">
        <v>0.21970000000000001</v>
      </c>
      <c r="C396" s="48">
        <v>0</v>
      </c>
      <c r="D396" s="43">
        <v>344018</v>
      </c>
      <c r="E396" s="173">
        <f>G396/B396*100</f>
        <v>159258111.0605371</v>
      </c>
      <c r="F396" s="384">
        <v>80782537185</v>
      </c>
      <c r="G396" s="53">
        <v>349890.07</v>
      </c>
      <c r="H396" s="53">
        <v>174031200.75999999</v>
      </c>
      <c r="I396" s="53">
        <v>0</v>
      </c>
      <c r="J396" s="53">
        <v>16298973.009999998</v>
      </c>
      <c r="K396" s="53">
        <v>0</v>
      </c>
      <c r="L396" s="53">
        <f>G396+H396+I396-J396+K396</f>
        <v>158082117.81999999</v>
      </c>
      <c r="M396" s="53">
        <v>33844562.189999998</v>
      </c>
      <c r="N396" s="53">
        <f>L396-M396</f>
        <v>124237555.63</v>
      </c>
      <c r="O396" s="53">
        <v>0</v>
      </c>
      <c r="P396" s="53">
        <v>0</v>
      </c>
      <c r="Q396" s="53">
        <f>N396-O396-P396</f>
        <v>124237555.63</v>
      </c>
    </row>
    <row r="397" spans="1:17">
      <c r="A397" s="47" t="s">
        <v>16</v>
      </c>
      <c r="B397" s="48">
        <f>B$396</f>
        <v>0.21970000000000001</v>
      </c>
      <c r="C397" s="48">
        <f>C$396</f>
        <v>0</v>
      </c>
      <c r="D397" s="43"/>
      <c r="E397" s="173"/>
      <c r="F397" s="65">
        <f>IF(E395&gt;E396,E395-E396,0)</f>
        <v>940741888.9394629</v>
      </c>
      <c r="G397" s="53">
        <f>F397*(B397-C397)/100</f>
        <v>2066809.93</v>
      </c>
      <c r="I397" s="53">
        <f>F397*C397/100</f>
        <v>0</v>
      </c>
      <c r="L397" s="53">
        <f>G397+H397+I397-J397+K397</f>
        <v>2066809.93</v>
      </c>
      <c r="N397" s="53">
        <f>L397-M397</f>
        <v>2066809.93</v>
      </c>
      <c r="Q397" s="53">
        <f>N397-O397-P397</f>
        <v>2066809.93</v>
      </c>
    </row>
    <row r="398" spans="1:17">
      <c r="A398" s="47" t="s">
        <v>17</v>
      </c>
      <c r="B398" s="48">
        <f t="shared" ref="B398:C401" si="108">B$396</f>
        <v>0.21970000000000001</v>
      </c>
      <c r="C398" s="48">
        <f t="shared" si="108"/>
        <v>0</v>
      </c>
      <c r="D398" s="43"/>
      <c r="E398" s="173"/>
      <c r="F398" s="66">
        <v>4000000000</v>
      </c>
      <c r="H398" s="53">
        <f>F398*(B398-C398)/100</f>
        <v>8788000</v>
      </c>
      <c r="I398" s="53">
        <f>F398*C398/100</f>
        <v>0</v>
      </c>
      <c r="J398" s="53">
        <v>0</v>
      </c>
      <c r="K398" s="53">
        <v>0</v>
      </c>
      <c r="L398" s="53">
        <f>G398+H398+I398-J398+K398</f>
        <v>8788000</v>
      </c>
      <c r="M398" s="53">
        <v>0</v>
      </c>
      <c r="N398" s="53">
        <f>L398-M398</f>
        <v>8788000</v>
      </c>
      <c r="O398" s="53">
        <v>0</v>
      </c>
      <c r="P398" s="53">
        <v>0</v>
      </c>
      <c r="Q398" s="53">
        <f>N398-O398-P398</f>
        <v>8788000</v>
      </c>
    </row>
    <row r="399" spans="1:17">
      <c r="A399" s="47" t="s">
        <v>18</v>
      </c>
      <c r="B399" s="48"/>
      <c r="C399" s="48"/>
      <c r="D399" s="43"/>
      <c r="E399" s="173"/>
      <c r="F399" s="43"/>
    </row>
    <row r="400" spans="1:17">
      <c r="A400" s="67" t="s">
        <v>19</v>
      </c>
      <c r="B400" s="48">
        <f t="shared" si="108"/>
        <v>0.21970000000000001</v>
      </c>
      <c r="C400" s="48">
        <f t="shared" si="108"/>
        <v>0</v>
      </c>
      <c r="D400" s="43"/>
      <c r="E400" s="173"/>
      <c r="F400" s="43">
        <v>1178426307.23</v>
      </c>
      <c r="G400" s="53">
        <v>558697.17000000004</v>
      </c>
      <c r="H400" s="53">
        <v>2030535.64</v>
      </c>
      <c r="I400" s="53">
        <v>0</v>
      </c>
      <c r="J400" s="53">
        <v>104785.68</v>
      </c>
      <c r="K400" s="53">
        <v>0</v>
      </c>
      <c r="L400" s="53">
        <f>G400+H400+I400-J400+K400</f>
        <v>2484447.13</v>
      </c>
      <c r="M400" s="53">
        <v>38039.949999999997</v>
      </c>
      <c r="N400" s="53">
        <f>L400-M400</f>
        <v>2446407.1799999997</v>
      </c>
      <c r="O400" s="53">
        <v>5631.37</v>
      </c>
      <c r="P400" s="53">
        <v>32672.51</v>
      </c>
      <c r="Q400" s="53">
        <f>N400-O400-P400</f>
        <v>2408103.2999999998</v>
      </c>
    </row>
    <row r="401" spans="1:17">
      <c r="A401" s="67" t="s">
        <v>20</v>
      </c>
      <c r="B401" s="48">
        <f t="shared" si="108"/>
        <v>0.21970000000000001</v>
      </c>
      <c r="C401" s="48">
        <f t="shared" si="108"/>
        <v>0</v>
      </c>
      <c r="D401" s="43"/>
      <c r="E401" s="173"/>
      <c r="F401" s="43">
        <v>31184828.809999999</v>
      </c>
      <c r="G401" s="53">
        <v>66733.72</v>
      </c>
      <c r="H401" s="53">
        <v>1778.69</v>
      </c>
      <c r="I401" s="53">
        <v>0</v>
      </c>
      <c r="J401" s="53">
        <v>0</v>
      </c>
      <c r="K401" s="53">
        <v>0</v>
      </c>
      <c r="L401" s="53">
        <f>G401+H401+I401-J401+K401</f>
        <v>68512.41</v>
      </c>
      <c r="M401" s="53">
        <v>0.53</v>
      </c>
      <c r="N401" s="53">
        <f>L401-M401</f>
        <v>68511.88</v>
      </c>
      <c r="O401" s="53">
        <v>61.66</v>
      </c>
      <c r="P401" s="53">
        <v>425.44</v>
      </c>
      <c r="Q401" s="53">
        <f>N401-O401-P401</f>
        <v>68024.78</v>
      </c>
    </row>
    <row r="402" spans="1:17">
      <c r="A402" s="47"/>
      <c r="B402" s="48"/>
      <c r="C402" s="48"/>
      <c r="D402" s="43"/>
      <c r="E402" s="173"/>
      <c r="F402" s="43"/>
    </row>
    <row r="403" spans="1:17" s="50" customFormat="1" ht="13.5" thickBot="1">
      <c r="A403" s="160" t="str">
        <f>"TOTAL "&amp; A394</f>
        <v>TOTAL CLARK COUNTY FIRE SERVICE</v>
      </c>
      <c r="B403" s="68">
        <f>B396</f>
        <v>0.21970000000000001</v>
      </c>
      <c r="C403" s="68">
        <f>C396</f>
        <v>0</v>
      </c>
      <c r="D403" s="69">
        <f t="shared" ref="D403:Q403" si="109">SUM(D396:D398,D400:D401)</f>
        <v>344018</v>
      </c>
      <c r="E403" s="204"/>
      <c r="F403" s="69">
        <f t="shared" si="109"/>
        <v>86932890209.979462</v>
      </c>
      <c r="G403" s="70">
        <f t="shared" si="109"/>
        <v>3042130.89</v>
      </c>
      <c r="H403" s="70">
        <f t="shared" si="109"/>
        <v>184851515.08999997</v>
      </c>
      <c r="I403" s="70">
        <f t="shared" si="109"/>
        <v>0</v>
      </c>
      <c r="J403" s="70">
        <f t="shared" si="109"/>
        <v>16403758.689999998</v>
      </c>
      <c r="K403" s="70">
        <f t="shared" si="109"/>
        <v>0</v>
      </c>
      <c r="L403" s="70">
        <f t="shared" si="109"/>
        <v>171489887.28999999</v>
      </c>
      <c r="M403" s="70">
        <f t="shared" si="109"/>
        <v>33882602.670000002</v>
      </c>
      <c r="N403" s="70">
        <f t="shared" si="109"/>
        <v>137607284.62</v>
      </c>
      <c r="O403" s="70">
        <f t="shared" si="109"/>
        <v>5693.03</v>
      </c>
      <c r="P403" s="70">
        <f t="shared" si="109"/>
        <v>33097.949999999997</v>
      </c>
      <c r="Q403" s="70">
        <f t="shared" si="109"/>
        <v>137568493.64000002</v>
      </c>
    </row>
    <row r="404" spans="1:17">
      <c r="A404" s="150" t="s">
        <v>355</v>
      </c>
      <c r="B404" s="48"/>
      <c r="C404" s="48"/>
      <c r="D404" s="43"/>
      <c r="E404" s="173"/>
      <c r="F404" s="64">
        <v>77842311911</v>
      </c>
    </row>
    <row r="405" spans="1:17">
      <c r="A405" s="151" t="s">
        <v>30</v>
      </c>
      <c r="B405" s="51"/>
      <c r="C405" s="51"/>
      <c r="D405" s="52"/>
      <c r="E405" s="203"/>
      <c r="F405" s="152">
        <f>(F403-ROUND(J403/B403,0))-F404</f>
        <v>9015913943.9794617</v>
      </c>
    </row>
    <row r="406" spans="1:17">
      <c r="A406" s="54" t="s">
        <v>396</v>
      </c>
      <c r="B406" s="50"/>
      <c r="C406" s="50"/>
      <c r="D406" s="50"/>
      <c r="E406" s="211"/>
      <c r="F406" s="50"/>
      <c r="G406" s="59"/>
    </row>
    <row r="407" spans="1:17">
      <c r="A407" s="50"/>
      <c r="B407" s="50"/>
      <c r="C407" s="50"/>
      <c r="D407" s="50"/>
      <c r="E407" s="65">
        <v>200000</v>
      </c>
      <c r="F407" s="50"/>
      <c r="G407" s="59"/>
    </row>
    <row r="408" spans="1:17">
      <c r="A408" s="49" t="s">
        <v>15</v>
      </c>
      <c r="B408" s="48">
        <v>8.9399999999999993E-2</v>
      </c>
      <c r="C408" s="48">
        <v>0</v>
      </c>
      <c r="D408" s="43">
        <v>1083</v>
      </c>
      <c r="E408" s="173">
        <f>G408/B408*100</f>
        <v>0</v>
      </c>
      <c r="F408" s="43">
        <v>84629036</v>
      </c>
      <c r="G408" s="53">
        <v>0</v>
      </c>
      <c r="H408" s="53">
        <v>75655.58</v>
      </c>
      <c r="I408" s="53">
        <v>0</v>
      </c>
      <c r="J408" s="53">
        <v>44078.1</v>
      </c>
      <c r="K408" s="53">
        <v>0</v>
      </c>
      <c r="L408" s="53">
        <f>G408+H408+I408-J408+K408</f>
        <v>31577.480000000003</v>
      </c>
      <c r="M408" s="53">
        <v>4087.84</v>
      </c>
      <c r="N408" s="53">
        <f>L408-M408</f>
        <v>27489.640000000003</v>
      </c>
      <c r="O408" s="53">
        <v>0</v>
      </c>
      <c r="P408" s="53">
        <v>0</v>
      </c>
      <c r="Q408" s="53">
        <f>N408-O408-P408</f>
        <v>27489.640000000003</v>
      </c>
    </row>
    <row r="409" spans="1:17">
      <c r="A409" s="47" t="s">
        <v>16</v>
      </c>
      <c r="B409" s="48">
        <f>B$408</f>
        <v>8.9399999999999993E-2</v>
      </c>
      <c r="C409" s="48">
        <f>C$408</f>
        <v>0</v>
      </c>
      <c r="D409" s="43"/>
      <c r="E409" s="173"/>
      <c r="F409" s="65">
        <f>IF(E407&gt;E408,E407-E408,0)</f>
        <v>200000</v>
      </c>
      <c r="G409" s="53">
        <f>F409*(B409-C409)/100</f>
        <v>178.8</v>
      </c>
      <c r="I409" s="53">
        <f>F409*C409/100</f>
        <v>0</v>
      </c>
      <c r="L409" s="53">
        <f>G409+H409+I409-J409+K409</f>
        <v>178.8</v>
      </c>
      <c r="N409" s="53">
        <f>L409-M409</f>
        <v>178.8</v>
      </c>
      <c r="Q409" s="53">
        <f>N409-O409-P409</f>
        <v>178.8</v>
      </c>
    </row>
    <row r="410" spans="1:17">
      <c r="A410" s="47" t="s">
        <v>17</v>
      </c>
      <c r="B410" s="48">
        <f t="shared" ref="B410:C413" si="110">B$408</f>
        <v>8.9399999999999993E-2</v>
      </c>
      <c r="C410" s="48">
        <f t="shared" si="110"/>
        <v>0</v>
      </c>
      <c r="D410" s="43"/>
      <c r="E410" s="173"/>
      <c r="F410" s="66">
        <v>3000000</v>
      </c>
      <c r="H410" s="53">
        <f>F410*(B410-C410)/100</f>
        <v>2682</v>
      </c>
      <c r="I410" s="53">
        <f>F410*C410/100</f>
        <v>0</v>
      </c>
      <c r="J410" s="53">
        <v>0</v>
      </c>
      <c r="K410" s="53">
        <v>0</v>
      </c>
      <c r="L410" s="53">
        <f>G410+H410+I410-J410+K410</f>
        <v>2682</v>
      </c>
      <c r="M410" s="53">
        <v>0</v>
      </c>
      <c r="N410" s="53">
        <f>L410-M410</f>
        <v>2682</v>
      </c>
      <c r="O410" s="53">
        <v>0</v>
      </c>
      <c r="P410" s="53">
        <v>0</v>
      </c>
      <c r="Q410" s="53">
        <f>N410-O410-P410</f>
        <v>2682</v>
      </c>
    </row>
    <row r="411" spans="1:17">
      <c r="A411" s="47" t="s">
        <v>18</v>
      </c>
      <c r="B411" s="48"/>
      <c r="C411" s="48"/>
      <c r="D411" s="43"/>
      <c r="E411" s="173"/>
      <c r="F411" s="43"/>
    </row>
    <row r="412" spans="1:17">
      <c r="A412" s="67" t="s">
        <v>19</v>
      </c>
      <c r="B412" s="48">
        <f t="shared" si="110"/>
        <v>8.9399999999999993E-2</v>
      </c>
      <c r="C412" s="48">
        <f t="shared" si="110"/>
        <v>0</v>
      </c>
      <c r="D412" s="43"/>
      <c r="E412" s="173"/>
      <c r="F412" s="43">
        <v>18229694.27</v>
      </c>
      <c r="G412" s="53">
        <v>2434.62</v>
      </c>
      <c r="H412" s="53">
        <v>13863.28</v>
      </c>
      <c r="I412" s="53">
        <v>0</v>
      </c>
      <c r="J412" s="53">
        <v>630.4</v>
      </c>
      <c r="K412" s="53">
        <v>0</v>
      </c>
      <c r="L412" s="53">
        <f>G412+H412+I412-J412+K412</f>
        <v>15667.500000000002</v>
      </c>
      <c r="M412" s="53">
        <v>46.94</v>
      </c>
      <c r="N412" s="53">
        <f>L412-M412</f>
        <v>15620.560000000001</v>
      </c>
      <c r="O412" s="53">
        <v>0</v>
      </c>
      <c r="P412" s="53">
        <v>56.53</v>
      </c>
      <c r="Q412" s="53">
        <f>N412-O412-P412</f>
        <v>15564.03</v>
      </c>
    </row>
    <row r="413" spans="1:17">
      <c r="A413" s="67" t="s">
        <v>20</v>
      </c>
      <c r="B413" s="48">
        <f t="shared" si="110"/>
        <v>8.9399999999999993E-2</v>
      </c>
      <c r="C413" s="48">
        <f t="shared" si="110"/>
        <v>0</v>
      </c>
      <c r="D413" s="43"/>
      <c r="E413" s="173"/>
      <c r="F413" s="43">
        <v>157807.10999999999</v>
      </c>
      <c r="G413" s="53">
        <v>98.68</v>
      </c>
      <c r="H413" s="53">
        <v>42.22</v>
      </c>
      <c r="I413" s="53">
        <v>0</v>
      </c>
      <c r="J413" s="53">
        <v>0</v>
      </c>
      <c r="K413" s="53">
        <v>0</v>
      </c>
      <c r="L413" s="53">
        <f>G413+H413+I413-J413+K413</f>
        <v>140.9</v>
      </c>
      <c r="M413" s="53">
        <v>0.04</v>
      </c>
      <c r="N413" s="53">
        <f>L413-M413</f>
        <v>140.86000000000001</v>
      </c>
      <c r="O413" s="53">
        <v>0</v>
      </c>
      <c r="P413" s="53">
        <v>0.74</v>
      </c>
      <c r="Q413" s="53">
        <f>N413-O413-P413</f>
        <v>140.12</v>
      </c>
    </row>
    <row r="414" spans="1:17">
      <c r="A414" s="47"/>
      <c r="B414" s="48"/>
      <c r="C414" s="48"/>
      <c r="D414" s="43"/>
      <c r="E414" s="173"/>
      <c r="F414" s="43"/>
      <c r="K414" s="18" t="s">
        <v>543</v>
      </c>
    </row>
    <row r="415" spans="1:17" s="50" customFormat="1" ht="13.5" thickBot="1">
      <c r="A415" s="160" t="str">
        <f>"TOTAL "&amp; A406</f>
        <v>TOTAL MOAPA TOWN VOTER OVERRIDE PARKS</v>
      </c>
      <c r="B415" s="68">
        <f>B408</f>
        <v>8.9399999999999993E-2</v>
      </c>
      <c r="C415" s="68">
        <f>C408</f>
        <v>0</v>
      </c>
      <c r="D415" s="69">
        <f t="shared" ref="D415:Q415" si="111">SUM(D408:D410,D412:D413)</f>
        <v>1083</v>
      </c>
      <c r="E415" s="204"/>
      <c r="F415" s="69">
        <f t="shared" si="111"/>
        <v>106216537.38</v>
      </c>
      <c r="G415" s="70">
        <f t="shared" si="111"/>
        <v>2712.1</v>
      </c>
      <c r="H415" s="70">
        <f t="shared" si="111"/>
        <v>92243.08</v>
      </c>
      <c r="I415" s="70">
        <f t="shared" si="111"/>
        <v>0</v>
      </c>
      <c r="J415" s="70">
        <f t="shared" si="111"/>
        <v>44708.5</v>
      </c>
      <c r="K415" s="70">
        <f t="shared" si="111"/>
        <v>0</v>
      </c>
      <c r="L415" s="70">
        <f t="shared" si="111"/>
        <v>50246.68</v>
      </c>
      <c r="M415" s="70">
        <f t="shared" si="111"/>
        <v>4134.82</v>
      </c>
      <c r="N415" s="70">
        <f t="shared" si="111"/>
        <v>46111.86</v>
      </c>
      <c r="O415" s="70">
        <f t="shared" si="111"/>
        <v>0</v>
      </c>
      <c r="P415" s="70">
        <f t="shared" si="111"/>
        <v>57.27</v>
      </c>
      <c r="Q415" s="70">
        <f t="shared" si="111"/>
        <v>46054.590000000004</v>
      </c>
    </row>
    <row r="416" spans="1:17">
      <c r="A416" s="150" t="s">
        <v>355</v>
      </c>
      <c r="B416" s="48"/>
      <c r="C416" s="48"/>
      <c r="D416" s="43"/>
      <c r="E416" s="173"/>
      <c r="F416" s="64">
        <v>56124153</v>
      </c>
    </row>
    <row r="417" spans="1:17">
      <c r="A417" s="151" t="s">
        <v>30</v>
      </c>
      <c r="B417" s="51"/>
      <c r="C417" s="51"/>
      <c r="D417" s="52"/>
      <c r="E417" s="203"/>
      <c r="F417" s="152">
        <f>(F415-ROUND(J408/B408*100,0))-F416</f>
        <v>788022.37999999523</v>
      </c>
    </row>
    <row r="418" spans="1:17">
      <c r="A418" s="54" t="s">
        <v>295</v>
      </c>
    </row>
    <row r="419" spans="1:17">
      <c r="E419" s="65">
        <v>290000000</v>
      </c>
    </row>
    <row r="420" spans="1:17">
      <c r="A420" s="49" t="s">
        <v>15</v>
      </c>
      <c r="B420" s="475">
        <v>6.2600000000000003E-2</v>
      </c>
      <c r="C420" s="48">
        <v>0</v>
      </c>
      <c r="D420" s="43">
        <v>145667</v>
      </c>
      <c r="E420" s="173">
        <f>G420/B420*100</f>
        <v>63681837.060702875</v>
      </c>
      <c r="F420" s="43">
        <v>27860658614</v>
      </c>
      <c r="G420" s="53">
        <v>39864.83</v>
      </c>
      <c r="H420" s="53">
        <v>15370341.850000001</v>
      </c>
      <c r="I420" s="53">
        <v>0</v>
      </c>
      <c r="J420" s="53">
        <v>1045407.9</v>
      </c>
      <c r="K420" s="53">
        <v>0</v>
      </c>
      <c r="L420" s="53">
        <f>G420+H420+I420-J420+K420</f>
        <v>14364798.780000001</v>
      </c>
      <c r="M420" s="53">
        <v>3960884.64</v>
      </c>
      <c r="N420" s="53">
        <f>L420-M420</f>
        <v>10403914.140000001</v>
      </c>
      <c r="O420" s="53">
        <v>0</v>
      </c>
      <c r="P420" s="53">
        <v>0</v>
      </c>
      <c r="Q420" s="53">
        <f>N420-O420-P420</f>
        <v>10403914.140000001</v>
      </c>
    </row>
    <row r="421" spans="1:17">
      <c r="A421" s="47" t="s">
        <v>16</v>
      </c>
      <c r="B421" s="475">
        <f>B$420</f>
        <v>6.2600000000000003E-2</v>
      </c>
      <c r="C421" s="48">
        <f>C$420</f>
        <v>0</v>
      </c>
      <c r="D421" s="43"/>
      <c r="E421" s="173"/>
      <c r="F421" s="65">
        <f>IF(E419&gt;E420,E419-E420,0)</f>
        <v>226318162.93929714</v>
      </c>
      <c r="G421" s="53">
        <f>F421*(B421-C421)/100</f>
        <v>141675.17000000001</v>
      </c>
      <c r="I421" s="53">
        <f>F421*C421/100</f>
        <v>0</v>
      </c>
      <c r="L421" s="53">
        <f>G421+H421+I421-J421+K421</f>
        <v>141675.17000000001</v>
      </c>
      <c r="N421" s="53">
        <f>L421-M421</f>
        <v>141675.17000000001</v>
      </c>
      <c r="Q421" s="53">
        <f>N421-O421-P421</f>
        <v>141675.17000000001</v>
      </c>
    </row>
    <row r="422" spans="1:17">
      <c r="A422" s="47" t="s">
        <v>17</v>
      </c>
      <c r="B422" s="475">
        <f t="shared" ref="B422:C425" si="112">B$420</f>
        <v>6.2600000000000003E-2</v>
      </c>
      <c r="C422" s="48">
        <f t="shared" si="112"/>
        <v>0</v>
      </c>
      <c r="D422" s="43"/>
      <c r="E422" s="173"/>
      <c r="F422" s="66">
        <v>800000000</v>
      </c>
      <c r="H422" s="53">
        <f>F422*(B422-C422)/100</f>
        <v>500800</v>
      </c>
      <c r="I422" s="53">
        <v>0</v>
      </c>
      <c r="J422" s="53">
        <v>0</v>
      </c>
      <c r="K422" s="53">
        <v>0</v>
      </c>
      <c r="L422" s="53">
        <f>G422+H422+I422-J422+K422</f>
        <v>500800</v>
      </c>
      <c r="M422" s="53">
        <v>0</v>
      </c>
      <c r="N422" s="53">
        <f>L422-M422</f>
        <v>500800</v>
      </c>
      <c r="O422" s="53">
        <v>0</v>
      </c>
      <c r="P422" s="53">
        <v>0</v>
      </c>
      <c r="Q422" s="53">
        <f>N422-O422-P422</f>
        <v>500800</v>
      </c>
    </row>
    <row r="423" spans="1:17">
      <c r="A423" s="47" t="s">
        <v>18</v>
      </c>
      <c r="B423" s="475"/>
      <c r="C423" s="48"/>
      <c r="D423" s="43"/>
      <c r="E423" s="173"/>
      <c r="F423" s="43"/>
    </row>
    <row r="424" spans="1:17">
      <c r="A424" s="67" t="s">
        <v>19</v>
      </c>
      <c r="B424" s="475">
        <f t="shared" si="112"/>
        <v>6.2600000000000003E-2</v>
      </c>
      <c r="C424" s="48">
        <f t="shared" si="112"/>
        <v>0</v>
      </c>
      <c r="D424" s="43"/>
      <c r="E424" s="173"/>
      <c r="F424" s="43">
        <v>415236559.99000001</v>
      </c>
      <c r="G424" s="53">
        <v>63478.04</v>
      </c>
      <c r="H424" s="53">
        <v>198128.51</v>
      </c>
      <c r="I424" s="53">
        <v>0</v>
      </c>
      <c r="J424" s="53">
        <v>11865.42</v>
      </c>
      <c r="K424" s="53">
        <v>0</v>
      </c>
      <c r="L424" s="53">
        <f>G424+H424+I424-J424+K424</f>
        <v>249741.13</v>
      </c>
      <c r="M424" s="53">
        <v>1614.33</v>
      </c>
      <c r="N424" s="53">
        <f>L424-M424</f>
        <v>248126.80000000002</v>
      </c>
      <c r="O424" s="53">
        <v>27206.77</v>
      </c>
      <c r="P424" s="53">
        <v>3977.94</v>
      </c>
      <c r="Q424" s="53">
        <f>N424-O424-P424</f>
        <v>216942.09000000003</v>
      </c>
    </row>
    <row r="425" spans="1:17">
      <c r="A425" s="67" t="s">
        <v>20</v>
      </c>
      <c r="B425" s="475">
        <f t="shared" si="112"/>
        <v>6.2600000000000003E-2</v>
      </c>
      <c r="C425" s="48">
        <f t="shared" si="112"/>
        <v>0</v>
      </c>
      <c r="D425" s="43"/>
      <c r="E425" s="173"/>
      <c r="F425" s="43">
        <v>7919577.6600000001</v>
      </c>
      <c r="G425" s="53">
        <v>4789.07</v>
      </c>
      <c r="H425" s="53">
        <v>184.24</v>
      </c>
      <c r="I425" s="53">
        <v>0</v>
      </c>
      <c r="J425" s="53">
        <v>0</v>
      </c>
      <c r="K425" s="53">
        <v>0</v>
      </c>
      <c r="L425" s="53">
        <f>G425+H425+I425-J425+K425</f>
        <v>4973.3099999999995</v>
      </c>
      <c r="M425" s="53">
        <v>0.01</v>
      </c>
      <c r="N425" s="53">
        <f>L425-M425</f>
        <v>4973.2999999999993</v>
      </c>
      <c r="O425" s="53">
        <v>557.97</v>
      </c>
      <c r="P425" s="53">
        <v>51.64</v>
      </c>
      <c r="Q425" s="53">
        <f>N425-O425-P425</f>
        <v>4363.6899999999987</v>
      </c>
    </row>
    <row r="426" spans="1:17">
      <c r="A426" s="47"/>
      <c r="B426" s="475"/>
      <c r="C426" s="48"/>
      <c r="D426" s="43"/>
      <c r="E426" s="173"/>
      <c r="F426" s="43"/>
    </row>
    <row r="427" spans="1:17" s="50" customFormat="1" ht="13.5" thickBot="1">
      <c r="A427" s="160" t="str">
        <f>"TOTAL "&amp; A418</f>
        <v>TOTAL HENDERSON PUBLIC LIBRARY</v>
      </c>
      <c r="B427" s="477">
        <f>B420</f>
        <v>6.2600000000000003E-2</v>
      </c>
      <c r="C427" s="68">
        <f>C420</f>
        <v>0</v>
      </c>
      <c r="D427" s="69">
        <f t="shared" ref="D427:Q427" si="113">SUM(D420:D422,D424:D425)</f>
        <v>145667</v>
      </c>
      <c r="E427" s="204"/>
      <c r="F427" s="69">
        <f t="shared" si="113"/>
        <v>29310132914.589298</v>
      </c>
      <c r="G427" s="70">
        <f t="shared" si="113"/>
        <v>249807.11000000002</v>
      </c>
      <c r="H427" s="70">
        <f t="shared" si="113"/>
        <v>16069454.600000001</v>
      </c>
      <c r="I427" s="70">
        <f t="shared" si="113"/>
        <v>0</v>
      </c>
      <c r="J427" s="70">
        <f t="shared" si="113"/>
        <v>1057273.32</v>
      </c>
      <c r="K427" s="70">
        <f t="shared" si="113"/>
        <v>0</v>
      </c>
      <c r="L427" s="70">
        <f t="shared" si="113"/>
        <v>15261988.390000002</v>
      </c>
      <c r="M427" s="70">
        <f t="shared" si="113"/>
        <v>3962498.98</v>
      </c>
      <c r="N427" s="70">
        <f t="shared" si="113"/>
        <v>11299489.410000002</v>
      </c>
      <c r="O427" s="70">
        <f t="shared" si="113"/>
        <v>27764.74</v>
      </c>
      <c r="P427" s="70">
        <f t="shared" si="113"/>
        <v>4029.58</v>
      </c>
      <c r="Q427" s="70">
        <f t="shared" si="113"/>
        <v>11267695.09</v>
      </c>
    </row>
    <row r="428" spans="1:17">
      <c r="A428" s="150" t="s">
        <v>355</v>
      </c>
      <c r="B428" s="48"/>
      <c r="C428" s="48"/>
      <c r="D428" s="43"/>
      <c r="E428" s="173"/>
      <c r="F428" s="64">
        <v>24137648417</v>
      </c>
    </row>
    <row r="429" spans="1:17">
      <c r="A429" s="151" t="s">
        <v>30</v>
      </c>
      <c r="B429" s="51"/>
      <c r="C429" s="51"/>
      <c r="D429" s="52"/>
      <c r="E429" s="203"/>
      <c r="F429" s="152">
        <f>(F427-ROUND(J420/B420*100,0))-F428</f>
        <v>3502503826.5892982</v>
      </c>
    </row>
    <row r="430" spans="1:17">
      <c r="A430" s="54" t="s">
        <v>296</v>
      </c>
    </row>
    <row r="431" spans="1:17">
      <c r="E431" s="65">
        <v>229000000</v>
      </c>
    </row>
    <row r="432" spans="1:17">
      <c r="A432" s="49" t="s">
        <v>15</v>
      </c>
      <c r="B432" s="48"/>
      <c r="C432" s="48"/>
      <c r="D432" s="43">
        <v>23417</v>
      </c>
      <c r="E432" s="203"/>
      <c r="F432" s="43">
        <v>3982155727</v>
      </c>
      <c r="G432" s="53">
        <v>2269115.34</v>
      </c>
      <c r="H432" s="53">
        <v>79286952.189999998</v>
      </c>
      <c r="I432" s="53">
        <v>0</v>
      </c>
      <c r="J432" s="53">
        <v>8385643.7199999997</v>
      </c>
      <c r="K432" s="53">
        <v>0</v>
      </c>
      <c r="L432" s="53">
        <f>G432+H432+I432-J432+K432</f>
        <v>73170423.810000002</v>
      </c>
      <c r="M432" s="53">
        <v>11306323.119999999</v>
      </c>
      <c r="N432" s="53">
        <f>L432-M432</f>
        <v>61864100.690000005</v>
      </c>
      <c r="O432" s="53">
        <v>0</v>
      </c>
      <c r="P432" s="53">
        <v>0</v>
      </c>
      <c r="Q432" s="53">
        <f>N432-O432-P432</f>
        <v>61864100.690000005</v>
      </c>
    </row>
    <row r="433" spans="1:17">
      <c r="A433" s="47" t="s">
        <v>16</v>
      </c>
      <c r="B433" s="48">
        <f>B$432</f>
        <v>0</v>
      </c>
      <c r="C433" s="48">
        <f>C$432</f>
        <v>0</v>
      </c>
      <c r="D433" s="43"/>
      <c r="E433" s="203"/>
      <c r="F433" s="65">
        <f>IF(E431&gt;E432,E431-E432,0)</f>
        <v>229000000</v>
      </c>
      <c r="G433" s="53">
        <f>F433*(B433-C433)/100</f>
        <v>0</v>
      </c>
      <c r="I433" s="53">
        <f>F433*C433/100</f>
        <v>0</v>
      </c>
      <c r="L433" s="53">
        <f>G433+H433+I433-J433+K433</f>
        <v>0</v>
      </c>
      <c r="M433" s="53">
        <v>0</v>
      </c>
      <c r="N433" s="53">
        <f>L433-M433</f>
        <v>0</v>
      </c>
      <c r="Q433" s="53">
        <f>N433-O433-P433</f>
        <v>0</v>
      </c>
    </row>
    <row r="434" spans="1:17">
      <c r="A434" s="47" t="s">
        <v>17</v>
      </c>
      <c r="B434" s="48">
        <f t="shared" ref="B434:C437" si="114">B$432</f>
        <v>0</v>
      </c>
      <c r="C434" s="48">
        <f t="shared" si="114"/>
        <v>0</v>
      </c>
      <c r="D434" s="43"/>
      <c r="E434" s="203"/>
      <c r="F434" s="66">
        <v>100000000</v>
      </c>
      <c r="H434" s="53">
        <f>F434*(B434-C434)/100</f>
        <v>0</v>
      </c>
      <c r="I434" s="53">
        <f>F434*C434/100</f>
        <v>0</v>
      </c>
      <c r="J434" s="53">
        <v>0</v>
      </c>
      <c r="K434" s="53">
        <v>0</v>
      </c>
      <c r="L434" s="53">
        <f>G434+H434+I434-J434+K434</f>
        <v>0</v>
      </c>
      <c r="M434" s="53">
        <v>0</v>
      </c>
      <c r="N434" s="53">
        <f>L434-M434</f>
        <v>0</v>
      </c>
      <c r="O434" s="53">
        <v>0</v>
      </c>
      <c r="P434" s="53">
        <v>0</v>
      </c>
      <c r="Q434" s="53">
        <f>N434-O434-P434</f>
        <v>0</v>
      </c>
    </row>
    <row r="435" spans="1:17">
      <c r="A435" s="47" t="s">
        <v>18</v>
      </c>
      <c r="B435" s="48"/>
      <c r="C435" s="48"/>
      <c r="D435" s="43"/>
      <c r="E435" s="203"/>
      <c r="F435" s="43"/>
    </row>
    <row r="436" spans="1:17">
      <c r="A436" s="67" t="s">
        <v>19</v>
      </c>
      <c r="B436" s="48">
        <f t="shared" si="114"/>
        <v>0</v>
      </c>
      <c r="C436" s="48">
        <f t="shared" si="114"/>
        <v>0</v>
      </c>
      <c r="D436" s="43"/>
      <c r="E436" s="203"/>
      <c r="F436" s="43">
        <v>55179144.579999998</v>
      </c>
      <c r="G436" s="53">
        <v>0</v>
      </c>
      <c r="H436" s="53">
        <v>0</v>
      </c>
      <c r="I436" s="53">
        <v>0</v>
      </c>
      <c r="J436" s="53">
        <v>0</v>
      </c>
      <c r="K436" s="53">
        <v>0</v>
      </c>
      <c r="L436" s="53">
        <f>G436+H436+I436-J436+K436</f>
        <v>0</v>
      </c>
      <c r="M436" s="53">
        <v>0</v>
      </c>
      <c r="N436" s="53">
        <f>L436-M436</f>
        <v>0</v>
      </c>
      <c r="O436" s="53">
        <v>0</v>
      </c>
      <c r="P436" s="53">
        <v>0</v>
      </c>
      <c r="Q436" s="53">
        <f>N436-O436-P436</f>
        <v>0</v>
      </c>
    </row>
    <row r="437" spans="1:17">
      <c r="A437" s="67" t="s">
        <v>20</v>
      </c>
      <c r="B437" s="48">
        <f t="shared" si="114"/>
        <v>0</v>
      </c>
      <c r="C437" s="48">
        <f t="shared" si="114"/>
        <v>0</v>
      </c>
      <c r="D437" s="43"/>
      <c r="E437" s="203"/>
      <c r="F437" s="43">
        <v>1060171.1599999999</v>
      </c>
      <c r="G437" s="53">
        <v>0</v>
      </c>
      <c r="H437" s="53">
        <v>0</v>
      </c>
      <c r="I437" s="53">
        <v>0</v>
      </c>
      <c r="J437" s="53">
        <v>0</v>
      </c>
      <c r="K437" s="53">
        <v>0</v>
      </c>
      <c r="L437" s="53">
        <f>G437+H437+I437-J437+K437</f>
        <v>0</v>
      </c>
      <c r="M437" s="53">
        <v>0</v>
      </c>
      <c r="N437" s="53">
        <f>L437-M437</f>
        <v>0</v>
      </c>
      <c r="O437" s="53">
        <v>0</v>
      </c>
      <c r="P437" s="53">
        <v>0</v>
      </c>
      <c r="Q437" s="53">
        <f>N437-O437-P437</f>
        <v>0</v>
      </c>
    </row>
    <row r="438" spans="1:17">
      <c r="A438" s="47"/>
      <c r="B438" s="48"/>
      <c r="C438" s="48"/>
      <c r="D438" s="43"/>
      <c r="E438" s="203"/>
      <c r="F438" s="43"/>
    </row>
    <row r="439" spans="1:17" s="50" customFormat="1" ht="13.5" thickBot="1">
      <c r="A439" s="160" t="str">
        <f>"TOTAL "&amp; A430</f>
        <v>TOTAL HENDERSON REDEVELOPMENT</v>
      </c>
      <c r="B439" s="68">
        <f>B432</f>
        <v>0</v>
      </c>
      <c r="C439" s="68">
        <f>C432</f>
        <v>0</v>
      </c>
      <c r="D439" s="69">
        <f t="shared" ref="D439:Q439" si="115">SUM(D432:D434,D436:D437)</f>
        <v>23417</v>
      </c>
      <c r="E439" s="204"/>
      <c r="F439" s="69">
        <f t="shared" si="115"/>
        <v>4367395042.7399998</v>
      </c>
      <c r="G439" s="70">
        <f t="shared" si="115"/>
        <v>2269115.34</v>
      </c>
      <c r="H439" s="70">
        <f t="shared" si="115"/>
        <v>79286952.189999998</v>
      </c>
      <c r="I439" s="70">
        <f t="shared" si="115"/>
        <v>0</v>
      </c>
      <c r="J439" s="70">
        <f t="shared" si="115"/>
        <v>8385643.7199999997</v>
      </c>
      <c r="K439" s="70">
        <f t="shared" si="115"/>
        <v>0</v>
      </c>
      <c r="L439" s="70">
        <f t="shared" si="115"/>
        <v>73170423.810000002</v>
      </c>
      <c r="M439" s="70">
        <f t="shared" si="115"/>
        <v>11306323.119999999</v>
      </c>
      <c r="N439" s="70">
        <f t="shared" si="115"/>
        <v>61864100.690000005</v>
      </c>
      <c r="O439" s="70">
        <f t="shared" si="115"/>
        <v>0</v>
      </c>
      <c r="P439" s="70">
        <f t="shared" si="115"/>
        <v>0</v>
      </c>
      <c r="Q439" s="70">
        <f t="shared" si="115"/>
        <v>61864100.690000005</v>
      </c>
    </row>
    <row r="440" spans="1:17">
      <c r="A440" s="150" t="s">
        <v>355</v>
      </c>
      <c r="B440" s="48"/>
      <c r="C440" s="48"/>
      <c r="D440" s="43"/>
      <c r="E440" s="203"/>
      <c r="F440" s="64">
        <v>3268226690</v>
      </c>
    </row>
    <row r="441" spans="1:17">
      <c r="A441" s="151" t="s">
        <v>30</v>
      </c>
      <c r="B441" s="51"/>
      <c r="C441" s="51"/>
      <c r="D441" s="52"/>
      <c r="E441" s="203"/>
      <c r="F441" s="152"/>
    </row>
    <row r="442" spans="1:17">
      <c r="A442" s="15" t="s">
        <v>465</v>
      </c>
    </row>
    <row r="443" spans="1:17">
      <c r="A443" s="50"/>
      <c r="B443" s="50"/>
      <c r="C443" s="50"/>
      <c r="D443" s="50"/>
      <c r="E443" s="65">
        <v>22000000</v>
      </c>
      <c r="F443" s="50"/>
      <c r="G443" s="59"/>
    </row>
    <row r="444" spans="1:17">
      <c r="A444" s="49" t="s">
        <v>15</v>
      </c>
      <c r="B444" s="48"/>
      <c r="C444" s="48"/>
      <c r="D444" s="43">
        <v>6302</v>
      </c>
      <c r="E444" s="173"/>
      <c r="F444" s="43">
        <v>2388422490</v>
      </c>
      <c r="G444" s="53">
        <v>18562.330000000002</v>
      </c>
      <c r="H444" s="53">
        <v>30434527.009999998</v>
      </c>
      <c r="I444" s="53">
        <v>0</v>
      </c>
      <c r="J444" s="53">
        <v>2423735.4299999997</v>
      </c>
      <c r="K444" s="53">
        <v>0</v>
      </c>
      <c r="L444" s="53">
        <f>G444+H444+I444-J444+K444</f>
        <v>28029353.909999996</v>
      </c>
      <c r="M444" s="53">
        <v>5660353.0700000003</v>
      </c>
      <c r="N444" s="53">
        <f>L444-M444</f>
        <v>22369000.839999996</v>
      </c>
      <c r="O444" s="53">
        <v>0</v>
      </c>
      <c r="P444" s="53">
        <v>0</v>
      </c>
      <c r="Q444" s="53">
        <f>N444-O444-P444</f>
        <v>22369000.839999996</v>
      </c>
    </row>
    <row r="445" spans="1:17">
      <c r="A445" s="47" t="s">
        <v>16</v>
      </c>
      <c r="B445" s="48">
        <f>B$444</f>
        <v>0</v>
      </c>
      <c r="C445" s="48">
        <f>C$444</f>
        <v>0</v>
      </c>
      <c r="D445" s="43"/>
      <c r="E445" s="173"/>
      <c r="F445" s="65">
        <f>IF(E443&gt;E444,E443-E444,0)</f>
        <v>22000000</v>
      </c>
      <c r="G445" s="53">
        <f>F445*(B445-C445)/100</f>
        <v>0</v>
      </c>
      <c r="I445" s="53">
        <f>F445*C445/100</f>
        <v>0</v>
      </c>
      <c r="L445" s="53">
        <f>G445+H445+I445-J445+K445</f>
        <v>0</v>
      </c>
      <c r="N445" s="53">
        <f>L445-M445</f>
        <v>0</v>
      </c>
      <c r="Q445" s="53">
        <f>N445-O445-P445</f>
        <v>0</v>
      </c>
    </row>
    <row r="446" spans="1:17">
      <c r="A446" s="47" t="s">
        <v>17</v>
      </c>
      <c r="B446" s="48">
        <f t="shared" ref="B446:C449" si="116">B$444</f>
        <v>0</v>
      </c>
      <c r="C446" s="48">
        <f t="shared" si="116"/>
        <v>0</v>
      </c>
      <c r="D446" s="43"/>
      <c r="E446" s="173"/>
      <c r="F446" s="66">
        <v>184000000</v>
      </c>
      <c r="H446" s="53">
        <f>F446*(B446-C446)/100</f>
        <v>0</v>
      </c>
      <c r="I446" s="53">
        <f>F446*C446/100</f>
        <v>0</v>
      </c>
      <c r="J446" s="53">
        <v>0</v>
      </c>
      <c r="K446" s="53">
        <v>0</v>
      </c>
      <c r="L446" s="53">
        <f>G446+H446+I446-J446+K446</f>
        <v>0</v>
      </c>
      <c r="M446" s="53">
        <v>0</v>
      </c>
      <c r="N446" s="53">
        <f>L446-M446</f>
        <v>0</v>
      </c>
      <c r="O446" s="53">
        <v>0</v>
      </c>
      <c r="P446" s="53">
        <v>0</v>
      </c>
      <c r="Q446" s="53">
        <f>N446-O446-P446</f>
        <v>0</v>
      </c>
    </row>
    <row r="447" spans="1:17">
      <c r="A447" s="47" t="s">
        <v>18</v>
      </c>
      <c r="B447" s="48"/>
      <c r="C447" s="48"/>
      <c r="D447" s="43"/>
      <c r="E447" s="173"/>
      <c r="F447" s="43"/>
    </row>
    <row r="448" spans="1:17">
      <c r="A448" s="67" t="s">
        <v>19</v>
      </c>
      <c r="B448" s="48">
        <f t="shared" si="116"/>
        <v>0</v>
      </c>
      <c r="C448" s="48">
        <f t="shared" si="116"/>
        <v>0</v>
      </c>
      <c r="D448" s="43"/>
      <c r="E448" s="173"/>
      <c r="F448" s="43">
        <v>3417245.45</v>
      </c>
      <c r="G448" s="53">
        <v>0</v>
      </c>
      <c r="H448" s="53">
        <v>0</v>
      </c>
      <c r="I448" s="53">
        <v>0</v>
      </c>
      <c r="J448" s="53">
        <v>0</v>
      </c>
      <c r="K448" s="53">
        <v>0</v>
      </c>
      <c r="L448" s="53">
        <f>G448+H448+I448-J448+K448</f>
        <v>0</v>
      </c>
      <c r="M448" s="53">
        <v>0</v>
      </c>
      <c r="N448" s="53">
        <f>L448-M448</f>
        <v>0</v>
      </c>
      <c r="O448" s="53">
        <v>0</v>
      </c>
      <c r="P448" s="53">
        <v>0</v>
      </c>
      <c r="Q448" s="53">
        <f>N448-O448-P448</f>
        <v>0</v>
      </c>
    </row>
    <row r="449" spans="1:17">
      <c r="A449" s="67" t="s">
        <v>20</v>
      </c>
      <c r="B449" s="48">
        <f t="shared" si="116"/>
        <v>0</v>
      </c>
      <c r="C449" s="48">
        <f t="shared" si="116"/>
        <v>0</v>
      </c>
      <c r="D449" s="43"/>
      <c r="E449" s="173"/>
      <c r="F449" s="43">
        <v>37717.54</v>
      </c>
      <c r="G449" s="53">
        <v>0</v>
      </c>
      <c r="H449" s="53">
        <v>0</v>
      </c>
      <c r="I449" s="53">
        <v>0</v>
      </c>
      <c r="J449" s="53">
        <v>0</v>
      </c>
      <c r="K449" s="53">
        <v>0</v>
      </c>
      <c r="L449" s="53">
        <f>G449+H449+I449-J449+K449</f>
        <v>0</v>
      </c>
      <c r="M449" s="53">
        <v>0</v>
      </c>
      <c r="N449" s="53">
        <f>L449-M449</f>
        <v>0</v>
      </c>
      <c r="O449" s="53">
        <v>0</v>
      </c>
      <c r="P449" s="53">
        <v>0</v>
      </c>
      <c r="Q449" s="53">
        <f>N449-O449-P449</f>
        <v>0</v>
      </c>
    </row>
    <row r="450" spans="1:17">
      <c r="A450" s="47"/>
      <c r="B450" s="48"/>
      <c r="C450" s="48"/>
      <c r="D450" s="43"/>
      <c r="E450" s="173"/>
      <c r="F450" s="43"/>
    </row>
    <row r="451" spans="1:17" s="50" customFormat="1" ht="13.5" thickBot="1">
      <c r="A451" s="160" t="str">
        <f>"TOTAL "&amp; A442</f>
        <v>TOTAL CLARK COUNTY REDEVELOPMENT</v>
      </c>
      <c r="B451" s="68">
        <f>B444</f>
        <v>0</v>
      </c>
      <c r="C451" s="68">
        <f>C444</f>
        <v>0</v>
      </c>
      <c r="D451" s="69">
        <f t="shared" ref="D451:Q451" si="117">SUM(D444:D446,D448:D449)</f>
        <v>6302</v>
      </c>
      <c r="E451" s="204"/>
      <c r="F451" s="69">
        <f t="shared" si="117"/>
        <v>2597877452.9899998</v>
      </c>
      <c r="G451" s="70">
        <f t="shared" si="117"/>
        <v>18562.330000000002</v>
      </c>
      <c r="H451" s="70">
        <f t="shared" si="117"/>
        <v>30434527.009999998</v>
      </c>
      <c r="I451" s="70">
        <f t="shared" si="117"/>
        <v>0</v>
      </c>
      <c r="J451" s="70">
        <f t="shared" si="117"/>
        <v>2423735.4299999997</v>
      </c>
      <c r="K451" s="70">
        <f t="shared" si="117"/>
        <v>0</v>
      </c>
      <c r="L451" s="70">
        <f t="shared" si="117"/>
        <v>28029353.909999996</v>
      </c>
      <c r="M451" s="70">
        <f t="shared" si="117"/>
        <v>5660353.0700000003</v>
      </c>
      <c r="N451" s="70">
        <f t="shared" si="117"/>
        <v>22369000.839999996</v>
      </c>
      <c r="O451" s="70">
        <f t="shared" si="117"/>
        <v>0</v>
      </c>
      <c r="P451" s="70">
        <f t="shared" si="117"/>
        <v>0</v>
      </c>
      <c r="Q451" s="70">
        <f t="shared" si="117"/>
        <v>22369000.839999996</v>
      </c>
    </row>
    <row r="452" spans="1:17">
      <c r="A452" s="150" t="s">
        <v>355</v>
      </c>
      <c r="B452" s="48"/>
      <c r="C452" s="48"/>
      <c r="D452" s="43"/>
      <c r="E452" s="173"/>
      <c r="F452" s="64">
        <v>1353925385</v>
      </c>
    </row>
    <row r="453" spans="1:17">
      <c r="A453" s="151" t="s">
        <v>30</v>
      </c>
      <c r="B453" s="51"/>
      <c r="C453" s="51"/>
      <c r="D453" s="52"/>
      <c r="E453" s="203"/>
      <c r="F453" s="152"/>
    </row>
    <row r="454" spans="1:17" hidden="1">
      <c r="A454" s="54" t="s">
        <v>432</v>
      </c>
    </row>
    <row r="455" spans="1:17" hidden="1">
      <c r="A455" s="83"/>
      <c r="B455" s="84"/>
      <c r="C455" s="84"/>
      <c r="D455" s="84"/>
      <c r="E455" s="65"/>
      <c r="F455" s="84"/>
      <c r="G455" s="59"/>
    </row>
    <row r="456" spans="1:17" hidden="1">
      <c r="A456" s="49" t="s">
        <v>15</v>
      </c>
      <c r="B456" s="48"/>
      <c r="C456" s="48"/>
      <c r="D456" s="43"/>
      <c r="E456" s="173" t="e">
        <f>G456/B456*100</f>
        <v>#DIV/0!</v>
      </c>
      <c r="F456" s="43"/>
      <c r="L456" s="53">
        <f>G456+H456+I456-J456+K456</f>
        <v>0</v>
      </c>
      <c r="N456" s="53">
        <f>L456-M456</f>
        <v>0</v>
      </c>
      <c r="Q456" s="53">
        <f>N456-O456-P456</f>
        <v>0</v>
      </c>
    </row>
    <row r="457" spans="1:17" hidden="1">
      <c r="A457" s="47" t="s">
        <v>16</v>
      </c>
      <c r="B457" s="48">
        <f>B$456</f>
        <v>0</v>
      </c>
      <c r="C457" s="48">
        <f>C$456</f>
        <v>0</v>
      </c>
      <c r="D457" s="43"/>
      <c r="E457" s="173"/>
      <c r="F457" s="65"/>
      <c r="G457" s="53">
        <f>F457*(B457-C457)/100</f>
        <v>0</v>
      </c>
      <c r="I457" s="53">
        <f>F457*C457/100</f>
        <v>0</v>
      </c>
      <c r="L457" s="53">
        <f>G457+H457+I457-J457+K457</f>
        <v>0</v>
      </c>
      <c r="N457" s="53">
        <f>L457-M457</f>
        <v>0</v>
      </c>
      <c r="Q457" s="53">
        <f>N457-O457-P457</f>
        <v>0</v>
      </c>
    </row>
    <row r="458" spans="1:17" hidden="1">
      <c r="A458" s="47" t="s">
        <v>17</v>
      </c>
      <c r="B458" s="48">
        <f t="shared" ref="B458:C461" si="118">B$456</f>
        <v>0</v>
      </c>
      <c r="C458" s="48">
        <f t="shared" si="118"/>
        <v>0</v>
      </c>
      <c r="D458" s="43"/>
      <c r="E458" s="173"/>
      <c r="F458" s="66"/>
      <c r="H458" s="53">
        <f>F458*(B458-C458)/100</f>
        <v>0</v>
      </c>
      <c r="I458" s="53">
        <f>F458*C458/100</f>
        <v>0</v>
      </c>
      <c r="L458" s="53">
        <f>G458+H458+I458-J458+K458</f>
        <v>0</v>
      </c>
      <c r="N458" s="53">
        <f>L458-M458</f>
        <v>0</v>
      </c>
      <c r="Q458" s="53">
        <f>N458-O458-P458</f>
        <v>0</v>
      </c>
    </row>
    <row r="459" spans="1:17" hidden="1">
      <c r="A459" s="47" t="s">
        <v>18</v>
      </c>
      <c r="B459" s="48"/>
      <c r="C459" s="48"/>
      <c r="D459" s="43"/>
      <c r="E459" s="173"/>
      <c r="F459" s="43"/>
    </row>
    <row r="460" spans="1:17" hidden="1">
      <c r="A460" s="67" t="s">
        <v>19</v>
      </c>
      <c r="B460" s="48">
        <f t="shared" si="118"/>
        <v>0</v>
      </c>
      <c r="C460" s="48">
        <f t="shared" si="118"/>
        <v>0</v>
      </c>
      <c r="D460" s="43"/>
      <c r="E460" s="173"/>
      <c r="F460" s="43"/>
      <c r="L460" s="53">
        <f>G460+H460+I460-J460+K460</f>
        <v>0</v>
      </c>
      <c r="N460" s="53">
        <f>L460-M460</f>
        <v>0</v>
      </c>
      <c r="Q460" s="53">
        <f>N460-O460-P460</f>
        <v>0</v>
      </c>
    </row>
    <row r="461" spans="1:17" hidden="1">
      <c r="A461" s="67" t="s">
        <v>20</v>
      </c>
      <c r="B461" s="48">
        <f t="shared" si="118"/>
        <v>0</v>
      </c>
      <c r="C461" s="48">
        <f t="shared" si="118"/>
        <v>0</v>
      </c>
      <c r="D461" s="43"/>
      <c r="E461" s="173"/>
      <c r="F461" s="43"/>
      <c r="L461" s="53">
        <f>G461+H461+I461-J461+K461</f>
        <v>0</v>
      </c>
      <c r="N461" s="53">
        <f>L461-M461</f>
        <v>0</v>
      </c>
      <c r="Q461" s="53">
        <f>N461-O461-P461</f>
        <v>0</v>
      </c>
    </row>
    <row r="462" spans="1:17" hidden="1">
      <c r="A462" s="47"/>
      <c r="B462" s="48"/>
      <c r="C462" s="48"/>
      <c r="D462" s="43"/>
      <c r="E462" s="173"/>
      <c r="F462" s="43"/>
    </row>
    <row r="463" spans="1:17" s="50" customFormat="1" ht="13.5" hidden="1" thickBot="1">
      <c r="A463" s="160" t="str">
        <f>"TOTAL "&amp; A454</f>
        <v>TOTAL FF INC ABATEMENT TRUST</v>
      </c>
      <c r="B463" s="68">
        <f>B456</f>
        <v>0</v>
      </c>
      <c r="C463" s="68">
        <f>C456</f>
        <v>0</v>
      </c>
      <c r="D463" s="69">
        <f t="shared" ref="D463:Q463" si="119">SUM(D456:D458,D460:D461)</f>
        <v>0</v>
      </c>
      <c r="E463" s="204"/>
      <c r="F463" s="69">
        <f t="shared" si="119"/>
        <v>0</v>
      </c>
      <c r="G463" s="70">
        <f t="shared" si="119"/>
        <v>0</v>
      </c>
      <c r="H463" s="70">
        <f t="shared" si="119"/>
        <v>0</v>
      </c>
      <c r="I463" s="70">
        <f t="shared" si="119"/>
        <v>0</v>
      </c>
      <c r="J463" s="70">
        <f t="shared" si="119"/>
        <v>0</v>
      </c>
      <c r="K463" s="70">
        <f t="shared" si="119"/>
        <v>0</v>
      </c>
      <c r="L463" s="70">
        <f t="shared" si="119"/>
        <v>0</v>
      </c>
      <c r="M463" s="70">
        <f t="shared" si="119"/>
        <v>0</v>
      </c>
      <c r="N463" s="70">
        <f t="shared" si="119"/>
        <v>0</v>
      </c>
      <c r="O463" s="70">
        <f t="shared" si="119"/>
        <v>0</v>
      </c>
      <c r="P463" s="70">
        <f t="shared" si="119"/>
        <v>0</v>
      </c>
      <c r="Q463" s="70">
        <f t="shared" si="119"/>
        <v>0</v>
      </c>
    </row>
    <row r="464" spans="1:17" hidden="1">
      <c r="A464" s="150" t="s">
        <v>355</v>
      </c>
      <c r="B464" s="48"/>
      <c r="C464" s="48"/>
      <c r="D464" s="43"/>
      <c r="E464" s="173"/>
      <c r="F464" s="64"/>
    </row>
    <row r="465" spans="1:20" hidden="1">
      <c r="A465" s="151" t="s">
        <v>30</v>
      </c>
      <c r="B465" s="51"/>
      <c r="C465" s="51"/>
      <c r="D465" s="52"/>
      <c r="E465" s="203"/>
      <c r="F465" s="152" t="e">
        <f>(F463-ROUND(J456/B456*100,0))-F464</f>
        <v>#DIV/0!</v>
      </c>
    </row>
    <row r="466" spans="1:20">
      <c r="A466" s="54" t="s">
        <v>297</v>
      </c>
      <c r="B466" s="50"/>
      <c r="C466" s="50"/>
      <c r="D466" s="50"/>
      <c r="E466" s="211"/>
      <c r="F466" s="50"/>
      <c r="G466" s="59"/>
    </row>
    <row r="467" spans="1:20">
      <c r="A467" s="50"/>
      <c r="E467" s="65">
        <v>1900000000</v>
      </c>
    </row>
    <row r="468" spans="1:20">
      <c r="A468" s="49" t="s">
        <v>15</v>
      </c>
      <c r="B468" s="48">
        <v>9.4200000000000006E-2</v>
      </c>
      <c r="C468" s="48">
        <v>0</v>
      </c>
      <c r="D468" s="43">
        <v>610280</v>
      </c>
      <c r="E468" s="173">
        <f>G468/B468*100</f>
        <v>667715859.8726114</v>
      </c>
      <c r="F468" s="43">
        <v>123493968670</v>
      </c>
      <c r="G468" s="53">
        <v>628988.34</v>
      </c>
      <c r="H468" s="53">
        <v>111527379.26999998</v>
      </c>
      <c r="I468" s="53">
        <v>0</v>
      </c>
      <c r="J468" s="53">
        <v>11865397.57</v>
      </c>
      <c r="K468" s="53">
        <v>0</v>
      </c>
      <c r="L468" s="53">
        <f>G468+H468+I468-J468+K468</f>
        <v>100290970.03999999</v>
      </c>
      <c r="M468" s="53">
        <v>26342554.189999998</v>
      </c>
      <c r="N468" s="53">
        <f>L468-M468</f>
        <v>73948415.849999994</v>
      </c>
      <c r="O468" s="53">
        <v>0</v>
      </c>
      <c r="P468" s="53">
        <v>0</v>
      </c>
      <c r="Q468" s="53">
        <f>N468-O468-P468</f>
        <v>73948415.849999994</v>
      </c>
      <c r="S468" s="153">
        <f>Q468+Q480</f>
        <v>73948415.849999994</v>
      </c>
    </row>
    <row r="469" spans="1:20">
      <c r="A469" s="47" t="s">
        <v>16</v>
      </c>
      <c r="B469" s="48">
        <f>B$468</f>
        <v>9.4200000000000006E-2</v>
      </c>
      <c r="C469" s="48">
        <f>C$468</f>
        <v>0</v>
      </c>
      <c r="D469" s="43"/>
      <c r="E469" s="173"/>
      <c r="F469" s="65">
        <f>IF(E467&gt;E468,E467-E468,0)</f>
        <v>1232284140.1273885</v>
      </c>
      <c r="G469" s="53">
        <f>F469*(B469-C469)/100</f>
        <v>1160811.6599999999</v>
      </c>
      <c r="I469" s="53">
        <f>F469*C469/100</f>
        <v>0</v>
      </c>
      <c r="L469" s="53">
        <f>G469+H469+I469-J469+K469</f>
        <v>1160811.6599999999</v>
      </c>
      <c r="N469" s="53">
        <f>L469-M469</f>
        <v>1160811.6599999999</v>
      </c>
      <c r="Q469" s="53">
        <f>N469-O469-P469</f>
        <v>1160811.6599999999</v>
      </c>
    </row>
    <row r="470" spans="1:20">
      <c r="A470" s="47" t="s">
        <v>17</v>
      </c>
      <c r="B470" s="48">
        <f t="shared" ref="B470:C473" si="120">B$468</f>
        <v>9.4200000000000006E-2</v>
      </c>
      <c r="C470" s="48">
        <f t="shared" si="120"/>
        <v>0</v>
      </c>
      <c r="D470" s="43"/>
      <c r="E470" s="173"/>
      <c r="F470" s="66">
        <v>5000000000</v>
      </c>
      <c r="H470" s="53">
        <f>F470*(B470-C470)/100</f>
        <v>4710000</v>
      </c>
      <c r="I470" s="53">
        <f>F470*C470/100</f>
        <v>0</v>
      </c>
      <c r="J470" s="53">
        <v>0</v>
      </c>
      <c r="K470" s="53">
        <v>0</v>
      </c>
      <c r="L470" s="53">
        <f>G470+H470+I470-J470+K470</f>
        <v>4710000</v>
      </c>
      <c r="M470" s="53">
        <v>0</v>
      </c>
      <c r="N470" s="53">
        <f>L470-M470</f>
        <v>4710000</v>
      </c>
      <c r="O470" s="53">
        <v>0</v>
      </c>
      <c r="P470" s="53">
        <v>0</v>
      </c>
      <c r="Q470" s="53">
        <f>N470-O470-P470</f>
        <v>4710000</v>
      </c>
      <c r="S470" s="48">
        <f>B475+B487</f>
        <v>9.4200000000000006E-2</v>
      </c>
      <c r="T470" s="49" t="s">
        <v>311</v>
      </c>
    </row>
    <row r="471" spans="1:20">
      <c r="A471" s="47" t="s">
        <v>18</v>
      </c>
      <c r="B471" s="48"/>
      <c r="C471" s="48"/>
      <c r="D471" s="43"/>
      <c r="E471" s="173"/>
      <c r="F471" s="43"/>
      <c r="S471" s="51">
        <f>B475/S470</f>
        <v>1</v>
      </c>
      <c r="T471" s="49" t="s">
        <v>312</v>
      </c>
    </row>
    <row r="472" spans="1:20">
      <c r="A472" s="67" t="s">
        <v>19</v>
      </c>
      <c r="B472" s="48">
        <v>9.4200000000000006E-2</v>
      </c>
      <c r="C472" s="48">
        <f t="shared" ref="C472" si="121">C$504</f>
        <v>0</v>
      </c>
      <c r="D472" s="43"/>
      <c r="E472" s="173"/>
      <c r="F472" s="43">
        <v>2432631773.8699999</v>
      </c>
      <c r="G472" s="53">
        <v>845724.5</v>
      </c>
      <c r="H472" s="53">
        <v>1445941.96</v>
      </c>
      <c r="I472" s="53">
        <v>0</v>
      </c>
      <c r="J472" s="53">
        <v>135475.12</v>
      </c>
      <c r="K472" s="53">
        <v>0</v>
      </c>
      <c r="L472" s="53">
        <f>G472+H472+I472-J472+K472</f>
        <v>2156191.34</v>
      </c>
      <c r="M472" s="53">
        <v>79073.5</v>
      </c>
      <c r="N472" s="53">
        <f>L472-M472</f>
        <v>2077117.8399999999</v>
      </c>
      <c r="O472" s="53">
        <v>30108.37</v>
      </c>
      <c r="P472" s="53">
        <v>30295.040000000001</v>
      </c>
      <c r="Q472" s="53">
        <f>N472-O472-P472</f>
        <v>2016714.4299999997</v>
      </c>
      <c r="S472" s="53">
        <f>Q472+Q484</f>
        <v>2016714.4299999997</v>
      </c>
    </row>
    <row r="473" spans="1:20">
      <c r="A473" s="67" t="s">
        <v>20</v>
      </c>
      <c r="B473" s="48">
        <f t="shared" si="120"/>
        <v>9.4200000000000006E-2</v>
      </c>
      <c r="C473" s="48">
        <f t="shared" si="120"/>
        <v>0</v>
      </c>
      <c r="D473" s="43"/>
      <c r="E473" s="173"/>
      <c r="F473" s="43">
        <v>82584242.129999995</v>
      </c>
      <c r="G473" s="53">
        <v>74773.03</v>
      </c>
      <c r="H473" s="53">
        <v>3019.68</v>
      </c>
      <c r="I473" s="53">
        <v>0</v>
      </c>
      <c r="J473" s="53">
        <v>0</v>
      </c>
      <c r="K473" s="53">
        <v>0</v>
      </c>
      <c r="L473" s="53">
        <f>G473+H473+I473-J473+K473</f>
        <v>77792.709999999992</v>
      </c>
      <c r="M473" s="53">
        <v>0.4</v>
      </c>
      <c r="N473" s="53">
        <f>L473-M473</f>
        <v>77792.31</v>
      </c>
      <c r="O473" s="53">
        <v>531.87</v>
      </c>
      <c r="P473" s="53">
        <v>331.54</v>
      </c>
      <c r="Q473" s="53">
        <f>N473-O473-P473</f>
        <v>76928.900000000009</v>
      </c>
    </row>
    <row r="474" spans="1:20">
      <c r="A474" s="47"/>
      <c r="B474" s="48"/>
      <c r="C474" s="48"/>
      <c r="D474" s="43"/>
      <c r="E474" s="173"/>
      <c r="F474" s="43"/>
      <c r="S474" s="53">
        <f>Q468+Q480</f>
        <v>73948415.849999994</v>
      </c>
      <c r="T474" s="49" t="s">
        <v>314</v>
      </c>
    </row>
    <row r="475" spans="1:20" s="50" customFormat="1" ht="13.5" thickBot="1">
      <c r="A475" s="160" t="str">
        <f>"TOTAL "&amp; A466</f>
        <v>TOTAL LAS VEGAS/CLARK COUNTY LIBRARY</v>
      </c>
      <c r="B475" s="68">
        <f>B468</f>
        <v>9.4200000000000006E-2</v>
      </c>
      <c r="C475" s="68">
        <f>C468</f>
        <v>0</v>
      </c>
      <c r="D475" s="69">
        <f t="shared" ref="D475:Q475" si="122">SUM(D468:D470,D472:D473)</f>
        <v>610280</v>
      </c>
      <c r="E475" s="204"/>
      <c r="F475" s="69">
        <f t="shared" si="122"/>
        <v>132241468826.1274</v>
      </c>
      <c r="G475" s="70">
        <f t="shared" si="122"/>
        <v>2710297.53</v>
      </c>
      <c r="H475" s="70">
        <f t="shared" si="122"/>
        <v>117686340.90999998</v>
      </c>
      <c r="I475" s="70">
        <f t="shared" si="122"/>
        <v>0</v>
      </c>
      <c r="J475" s="70">
        <f t="shared" si="122"/>
        <v>12000872.689999999</v>
      </c>
      <c r="K475" s="70">
        <f t="shared" si="122"/>
        <v>0</v>
      </c>
      <c r="L475" s="70">
        <f t="shared" si="122"/>
        <v>108395765.74999999</v>
      </c>
      <c r="M475" s="70">
        <f t="shared" si="122"/>
        <v>26421628.089999996</v>
      </c>
      <c r="N475" s="70">
        <f t="shared" si="122"/>
        <v>81974137.659999996</v>
      </c>
      <c r="O475" s="70">
        <f t="shared" si="122"/>
        <v>30640.239999999998</v>
      </c>
      <c r="P475" s="70">
        <f t="shared" si="122"/>
        <v>30626.58</v>
      </c>
      <c r="Q475" s="70">
        <f t="shared" si="122"/>
        <v>81912870.840000004</v>
      </c>
    </row>
    <row r="476" spans="1:20">
      <c r="A476" s="150" t="s">
        <v>355</v>
      </c>
      <c r="B476" s="48"/>
      <c r="C476" s="48"/>
      <c r="D476" s="43"/>
      <c r="E476" s="173"/>
      <c r="F476" s="64">
        <v>114844296375</v>
      </c>
    </row>
    <row r="477" spans="1:20">
      <c r="A477" s="151" t="s">
        <v>30</v>
      </c>
      <c r="B477" s="51"/>
      <c r="C477" s="51"/>
      <c r="D477" s="52"/>
      <c r="E477" s="203"/>
      <c r="F477" s="152">
        <f>(F475-ROUND(J468/B468*100,0))-F476</f>
        <v>4801209001.1273956</v>
      </c>
    </row>
    <row r="478" spans="1:20" hidden="1">
      <c r="A478" s="157" t="s">
        <v>334</v>
      </c>
    </row>
    <row r="479" spans="1:20" hidden="1">
      <c r="E479" s="65"/>
    </row>
    <row r="480" spans="1:20" hidden="1">
      <c r="A480" s="49" t="s">
        <v>15</v>
      </c>
      <c r="B480" s="48"/>
      <c r="C480" s="48"/>
      <c r="D480" s="43"/>
      <c r="E480" s="173" t="e">
        <f>G480/B480*100</f>
        <v>#DIV/0!</v>
      </c>
      <c r="F480" s="43"/>
      <c r="L480" s="53">
        <f>G480+H480+I480-J480+K480</f>
        <v>0</v>
      </c>
      <c r="N480" s="53">
        <f>L480-M480</f>
        <v>0</v>
      </c>
      <c r="Q480" s="53">
        <f>N480-O480-P480</f>
        <v>0</v>
      </c>
    </row>
    <row r="481" spans="1:17" hidden="1">
      <c r="A481" s="47" t="s">
        <v>16</v>
      </c>
      <c r="B481" s="48">
        <f>B$480</f>
        <v>0</v>
      </c>
      <c r="C481" s="48">
        <f>C$480</f>
        <v>0</v>
      </c>
      <c r="D481" s="43"/>
      <c r="E481" s="173"/>
      <c r="F481" s="65"/>
      <c r="G481" s="53">
        <f>F481*(B481-C481)/100</f>
        <v>0</v>
      </c>
      <c r="I481" s="53">
        <f>F481*C481/100</f>
        <v>0</v>
      </c>
      <c r="L481" s="53">
        <f>G481+H481+I481-J481+K481</f>
        <v>0</v>
      </c>
      <c r="N481" s="53">
        <f>L481-M481</f>
        <v>0</v>
      </c>
      <c r="Q481" s="53">
        <f>N481-O481-P481</f>
        <v>0</v>
      </c>
    </row>
    <row r="482" spans="1:17" hidden="1">
      <c r="A482" s="47" t="s">
        <v>17</v>
      </c>
      <c r="B482" s="48">
        <f t="shared" ref="B482:C485" si="123">B$480</f>
        <v>0</v>
      </c>
      <c r="C482" s="48">
        <f t="shared" si="123"/>
        <v>0</v>
      </c>
      <c r="D482" s="43"/>
      <c r="E482" s="173"/>
      <c r="F482" s="66"/>
      <c r="H482" s="53">
        <f>F482*(B482-C482)/100</f>
        <v>0</v>
      </c>
      <c r="I482" s="53">
        <f>F482*C482/100</f>
        <v>0</v>
      </c>
      <c r="L482" s="53">
        <f>G482+H482+I482-J482+K482</f>
        <v>0</v>
      </c>
      <c r="N482" s="53">
        <f>L482-M482</f>
        <v>0</v>
      </c>
      <c r="Q482" s="53">
        <f>N482-O482-P482</f>
        <v>0</v>
      </c>
    </row>
    <row r="483" spans="1:17" hidden="1">
      <c r="A483" s="47" t="s">
        <v>18</v>
      </c>
      <c r="B483" s="48"/>
      <c r="C483" s="48"/>
      <c r="D483" s="43"/>
      <c r="E483" s="173"/>
      <c r="F483" s="43"/>
    </row>
    <row r="484" spans="1:17" hidden="1">
      <c r="A484" s="67" t="s">
        <v>19</v>
      </c>
      <c r="B484" s="48">
        <f t="shared" si="123"/>
        <v>0</v>
      </c>
      <c r="C484" s="48">
        <f t="shared" si="123"/>
        <v>0</v>
      </c>
      <c r="D484" s="43"/>
      <c r="E484" s="173"/>
      <c r="F484" s="43"/>
      <c r="L484" s="53">
        <f>G484+H484+I484-J484+K484</f>
        <v>0</v>
      </c>
      <c r="N484" s="53">
        <f>L484-M484</f>
        <v>0</v>
      </c>
      <c r="Q484" s="53">
        <f>N484-O484-P484</f>
        <v>0</v>
      </c>
    </row>
    <row r="485" spans="1:17" hidden="1">
      <c r="A485" s="67" t="s">
        <v>20</v>
      </c>
      <c r="B485" s="48">
        <f t="shared" si="123"/>
        <v>0</v>
      </c>
      <c r="C485" s="48">
        <f t="shared" si="123"/>
        <v>0</v>
      </c>
      <c r="D485" s="43"/>
      <c r="E485" s="173"/>
      <c r="F485" s="43"/>
      <c r="L485" s="53">
        <f>G485+H485+I485-J485+K485</f>
        <v>0</v>
      </c>
      <c r="N485" s="53">
        <f>L485-M485</f>
        <v>0</v>
      </c>
      <c r="Q485" s="53">
        <f>N485-O485-P485</f>
        <v>0</v>
      </c>
    </row>
    <row r="486" spans="1:17" hidden="1">
      <c r="A486" s="47"/>
      <c r="B486" s="48"/>
      <c r="C486" s="48"/>
      <c r="D486" s="43"/>
      <c r="E486" s="173"/>
      <c r="F486" s="43"/>
    </row>
    <row r="487" spans="1:17" s="50" customFormat="1" ht="13.5" hidden="1" thickBot="1">
      <c r="A487" s="160" t="str">
        <f>"TOTAL "&amp; A478</f>
        <v>TOTAL LAS VEGAS/CLARK COUNTY LIBRARY - DEBT</v>
      </c>
      <c r="B487" s="68">
        <f>B480</f>
        <v>0</v>
      </c>
      <c r="C487" s="68">
        <f>C480</f>
        <v>0</v>
      </c>
      <c r="D487" s="69">
        <f t="shared" ref="D487:Q487" si="124">SUM(D480:D482,D484:D485)</f>
        <v>0</v>
      </c>
      <c r="E487" s="204"/>
      <c r="F487" s="69">
        <f t="shared" si="124"/>
        <v>0</v>
      </c>
      <c r="G487" s="70">
        <f t="shared" si="124"/>
        <v>0</v>
      </c>
      <c r="H487" s="70">
        <f t="shared" si="124"/>
        <v>0</v>
      </c>
      <c r="I487" s="70">
        <f t="shared" si="124"/>
        <v>0</v>
      </c>
      <c r="J487" s="70">
        <f t="shared" si="124"/>
        <v>0</v>
      </c>
      <c r="K487" s="70">
        <f t="shared" si="124"/>
        <v>0</v>
      </c>
      <c r="L487" s="70">
        <f t="shared" si="124"/>
        <v>0</v>
      </c>
      <c r="M487" s="70">
        <f t="shared" si="124"/>
        <v>0</v>
      </c>
      <c r="N487" s="70">
        <f t="shared" si="124"/>
        <v>0</v>
      </c>
      <c r="O487" s="70">
        <f t="shared" si="124"/>
        <v>0</v>
      </c>
      <c r="P487" s="70">
        <f t="shared" si="124"/>
        <v>0</v>
      </c>
      <c r="Q487" s="70">
        <f t="shared" si="124"/>
        <v>0</v>
      </c>
    </row>
    <row r="488" spans="1:17" hidden="1">
      <c r="A488" s="150" t="s">
        <v>355</v>
      </c>
      <c r="B488" s="48"/>
      <c r="C488" s="48"/>
      <c r="D488" s="43"/>
      <c r="E488" s="173"/>
      <c r="F488" s="64"/>
    </row>
    <row r="489" spans="1:17" hidden="1">
      <c r="A489" s="151" t="s">
        <v>30</v>
      </c>
      <c r="B489" s="51"/>
      <c r="C489" s="51"/>
      <c r="D489" s="52"/>
      <c r="E489" s="203"/>
      <c r="F489" s="152" t="e">
        <f>(F487-ROUND(J480/B480*100,0))-F488</f>
        <v>#DIV/0!</v>
      </c>
    </row>
    <row r="490" spans="1:17" hidden="1">
      <c r="A490" s="54" t="s">
        <v>386</v>
      </c>
    </row>
    <row r="491" spans="1:17" hidden="1">
      <c r="E491" s="65"/>
    </row>
    <row r="492" spans="1:17" hidden="1">
      <c r="A492" s="49" t="s">
        <v>15</v>
      </c>
      <c r="B492" s="48"/>
      <c r="C492" s="48"/>
      <c r="D492" s="43"/>
      <c r="E492" s="173" t="e">
        <f>G492/B492*100</f>
        <v>#DIV/0!</v>
      </c>
      <c r="F492" s="43"/>
      <c r="L492" s="53">
        <f>G492+H492+I492-J492+K492</f>
        <v>0</v>
      </c>
      <c r="N492" s="53">
        <f>L492-M492</f>
        <v>0</v>
      </c>
      <c r="Q492" s="53">
        <f>N492-O492-P492</f>
        <v>0</v>
      </c>
    </row>
    <row r="493" spans="1:17" hidden="1">
      <c r="A493" s="47" t="s">
        <v>16</v>
      </c>
      <c r="B493" s="48">
        <f>B$492</f>
        <v>0</v>
      </c>
      <c r="C493" s="48">
        <f>C$492</f>
        <v>0</v>
      </c>
      <c r="D493" s="43"/>
      <c r="E493" s="173"/>
      <c r="F493" s="65"/>
      <c r="G493" s="53">
        <f>F493*(B493-C493)/100</f>
        <v>0</v>
      </c>
      <c r="I493" s="53">
        <f>F493*C493/100</f>
        <v>0</v>
      </c>
      <c r="L493" s="53">
        <f>G493+H493+I493-J493+K493</f>
        <v>0</v>
      </c>
      <c r="N493" s="53">
        <f>L493-M493</f>
        <v>0</v>
      </c>
      <c r="Q493" s="53">
        <f>N493-O493-P493</f>
        <v>0</v>
      </c>
    </row>
    <row r="494" spans="1:17" hidden="1">
      <c r="A494" s="47" t="s">
        <v>17</v>
      </c>
      <c r="B494" s="48">
        <f t="shared" ref="B494:C497" si="125">B$492</f>
        <v>0</v>
      </c>
      <c r="C494" s="48">
        <f t="shared" si="125"/>
        <v>0</v>
      </c>
      <c r="D494" s="43"/>
      <c r="E494" s="173"/>
      <c r="F494" s="66"/>
      <c r="H494" s="53">
        <f>F494*(B494-C494)/100</f>
        <v>0</v>
      </c>
      <c r="I494" s="53">
        <f>F494*C494/100</f>
        <v>0</v>
      </c>
      <c r="L494" s="53">
        <f>G494+H494+I494-J494+K494</f>
        <v>0</v>
      </c>
      <c r="N494" s="53">
        <f>L494-M494</f>
        <v>0</v>
      </c>
      <c r="Q494" s="53">
        <f>N494-O494-P494</f>
        <v>0</v>
      </c>
    </row>
    <row r="495" spans="1:17" hidden="1">
      <c r="A495" s="47" t="s">
        <v>18</v>
      </c>
      <c r="B495" s="48"/>
      <c r="C495" s="48"/>
      <c r="D495" s="43"/>
      <c r="E495" s="173"/>
      <c r="F495" s="43"/>
    </row>
    <row r="496" spans="1:17" hidden="1">
      <c r="A496" s="67" t="s">
        <v>19</v>
      </c>
      <c r="B496" s="48">
        <f t="shared" si="125"/>
        <v>0</v>
      </c>
      <c r="C496" s="48">
        <f t="shared" si="125"/>
        <v>0</v>
      </c>
      <c r="D496" s="43"/>
      <c r="E496" s="173"/>
      <c r="F496" s="43"/>
      <c r="L496" s="53">
        <f>G496+H496+I496-J496+K496</f>
        <v>0</v>
      </c>
      <c r="N496" s="53">
        <f>L496-M496</f>
        <v>0</v>
      </c>
      <c r="Q496" s="53">
        <f>N496-O496-P496</f>
        <v>0</v>
      </c>
    </row>
    <row r="497" spans="1:22" hidden="1">
      <c r="A497" s="67" t="s">
        <v>20</v>
      </c>
      <c r="B497" s="48">
        <f t="shared" si="125"/>
        <v>0</v>
      </c>
      <c r="C497" s="48">
        <f t="shared" si="125"/>
        <v>0</v>
      </c>
      <c r="D497" s="43"/>
      <c r="E497" s="173"/>
      <c r="F497" s="43"/>
      <c r="L497" s="53">
        <f>G497+H497+I497-J497+K497</f>
        <v>0</v>
      </c>
      <c r="N497" s="53">
        <f>L497-M497</f>
        <v>0</v>
      </c>
      <c r="Q497" s="53">
        <f>N497-O497-P497</f>
        <v>0</v>
      </c>
    </row>
    <row r="498" spans="1:22" hidden="1">
      <c r="A498" s="47"/>
      <c r="B498" s="48"/>
      <c r="C498" s="48"/>
      <c r="D498" s="43"/>
      <c r="E498" s="173"/>
      <c r="F498" s="43"/>
    </row>
    <row r="499" spans="1:22" s="50" customFormat="1" ht="13.5" hidden="1" thickBot="1">
      <c r="A499" s="160" t="str">
        <f>"TOTAL "&amp; A490</f>
        <v>TOTAL LOWER MOAPA VALLEY GWB</v>
      </c>
      <c r="B499" s="68">
        <f>B492</f>
        <v>0</v>
      </c>
      <c r="C499" s="68">
        <f>C492</f>
        <v>0</v>
      </c>
      <c r="D499" s="69">
        <f t="shared" ref="D499:Q499" si="126">SUM(D492:D494,D496:D497)</f>
        <v>0</v>
      </c>
      <c r="E499" s="204"/>
      <c r="F499" s="69">
        <f t="shared" si="126"/>
        <v>0</v>
      </c>
      <c r="G499" s="70">
        <f t="shared" si="126"/>
        <v>0</v>
      </c>
      <c r="H499" s="70">
        <f t="shared" si="126"/>
        <v>0</v>
      </c>
      <c r="I499" s="70">
        <f t="shared" si="126"/>
        <v>0</v>
      </c>
      <c r="J499" s="70">
        <f t="shared" si="126"/>
        <v>0</v>
      </c>
      <c r="K499" s="70">
        <f t="shared" si="126"/>
        <v>0</v>
      </c>
      <c r="L499" s="70">
        <f t="shared" si="126"/>
        <v>0</v>
      </c>
      <c r="M499" s="70">
        <f t="shared" si="126"/>
        <v>0</v>
      </c>
      <c r="N499" s="70">
        <f t="shared" si="126"/>
        <v>0</v>
      </c>
      <c r="O499" s="70">
        <f t="shared" si="126"/>
        <v>0</v>
      </c>
      <c r="P499" s="70"/>
      <c r="Q499" s="70">
        <f t="shared" si="126"/>
        <v>0</v>
      </c>
    </row>
    <row r="500" spans="1:22" hidden="1">
      <c r="A500" s="150" t="s">
        <v>355</v>
      </c>
      <c r="B500" s="48"/>
      <c r="C500" s="48"/>
      <c r="D500" s="43"/>
      <c r="E500" s="173"/>
      <c r="F500" s="64"/>
    </row>
    <row r="501" spans="1:22" hidden="1">
      <c r="A501" s="151" t="s">
        <v>30</v>
      </c>
      <c r="B501" s="51"/>
      <c r="C501" s="51"/>
      <c r="D501" s="52"/>
      <c r="E501" s="203"/>
      <c r="F501" s="152" t="e">
        <f>(F499-ROUND(J492/B492*100,0))-F500</f>
        <v>#DIV/0!</v>
      </c>
    </row>
    <row r="502" spans="1:22">
      <c r="A502" s="332" t="s">
        <v>298</v>
      </c>
    </row>
    <row r="503" spans="1:22">
      <c r="E503" s="65">
        <v>628000000</v>
      </c>
    </row>
    <row r="504" spans="1:22">
      <c r="A504" s="49" t="s">
        <v>15</v>
      </c>
      <c r="B504" s="48">
        <v>0.28000000000000003</v>
      </c>
      <c r="C504" s="48">
        <v>0</v>
      </c>
      <c r="D504" s="43">
        <v>227865</v>
      </c>
      <c r="E504" s="173">
        <f>G504/B504*100</f>
        <v>465344989.28571427</v>
      </c>
      <c r="F504" s="43">
        <v>37101477192</v>
      </c>
      <c r="G504" s="53">
        <v>1302965.97</v>
      </c>
      <c r="H504" s="53">
        <v>100356556.71000001</v>
      </c>
      <c r="I504" s="53">
        <v>0</v>
      </c>
      <c r="J504" s="53">
        <v>9390164.8100000005</v>
      </c>
      <c r="K504" s="53">
        <v>0</v>
      </c>
      <c r="L504" s="53">
        <f>G504+H504+I504-J504+K504</f>
        <v>92269357.870000005</v>
      </c>
      <c r="M504" s="53">
        <v>21011796.170000002</v>
      </c>
      <c r="N504" s="53">
        <f>L504-M504</f>
        <v>71257561.700000003</v>
      </c>
      <c r="O504" s="53">
        <v>0</v>
      </c>
      <c r="P504" s="53">
        <v>0</v>
      </c>
      <c r="Q504" s="53">
        <f>N504-O504-P504</f>
        <v>71257561.700000003</v>
      </c>
      <c r="S504" s="53"/>
    </row>
    <row r="505" spans="1:22">
      <c r="A505" s="47" t="s">
        <v>16</v>
      </c>
      <c r="B505" s="48">
        <f>B$504</f>
        <v>0.28000000000000003</v>
      </c>
      <c r="C505" s="48">
        <f>C$504</f>
        <v>0</v>
      </c>
      <c r="D505" s="43"/>
      <c r="E505" s="173"/>
      <c r="F505" s="65">
        <f>IF(E503&gt;E504,E503-E504,0)</f>
        <v>162655010.71428573</v>
      </c>
      <c r="G505" s="53">
        <f>F505*(B505-C505)/100</f>
        <v>455434.03000000009</v>
      </c>
      <c r="I505" s="53">
        <f>F505*C505/100</f>
        <v>0</v>
      </c>
      <c r="L505" s="53">
        <f>G505+H505+I505-J505+K505</f>
        <v>455434.03000000009</v>
      </c>
      <c r="N505" s="53">
        <f>L505-M505</f>
        <v>455434.03000000009</v>
      </c>
      <c r="Q505" s="53">
        <f>N505-O505-P505</f>
        <v>455434.03000000009</v>
      </c>
    </row>
    <row r="506" spans="1:22">
      <c r="A506" s="47" t="s">
        <v>17</v>
      </c>
      <c r="B506" s="48">
        <f t="shared" ref="B506:C509" si="127">B$504</f>
        <v>0.28000000000000003</v>
      </c>
      <c r="C506" s="48">
        <f t="shared" si="127"/>
        <v>0</v>
      </c>
      <c r="D506" s="43"/>
      <c r="E506" s="173"/>
      <c r="F506" s="66">
        <v>500000000</v>
      </c>
      <c r="H506" s="53">
        <f>F506*(B506-C506)/100</f>
        <v>1400000</v>
      </c>
      <c r="J506" s="53">
        <v>0</v>
      </c>
      <c r="K506" s="53">
        <v>0</v>
      </c>
      <c r="L506" s="53">
        <f>G506+H506+I506-J506+K506</f>
        <v>1400000</v>
      </c>
      <c r="M506" s="53">
        <v>0</v>
      </c>
      <c r="N506" s="53">
        <f>L506-M506</f>
        <v>1400000</v>
      </c>
      <c r="O506" s="53">
        <v>0</v>
      </c>
      <c r="P506" s="53">
        <v>0</v>
      </c>
      <c r="Q506" s="53">
        <f>N506-O506-P506</f>
        <v>1400000</v>
      </c>
    </row>
    <row r="507" spans="1:22">
      <c r="A507" s="47" t="s">
        <v>18</v>
      </c>
      <c r="B507" s="48"/>
      <c r="C507" s="48"/>
      <c r="D507" s="43"/>
      <c r="E507" s="173"/>
      <c r="F507" s="43"/>
    </row>
    <row r="508" spans="1:22">
      <c r="A508" s="67" t="s">
        <v>19</v>
      </c>
      <c r="B508" s="48">
        <f t="shared" si="127"/>
        <v>0.28000000000000003</v>
      </c>
      <c r="C508" s="48">
        <f t="shared" si="127"/>
        <v>0</v>
      </c>
      <c r="D508" s="43"/>
      <c r="E508" s="173"/>
      <c r="F508" s="43">
        <v>549407249.09000003</v>
      </c>
      <c r="G508" s="53">
        <v>242634.85</v>
      </c>
      <c r="H508" s="53">
        <v>1295858.32</v>
      </c>
      <c r="I508" s="53">
        <v>0</v>
      </c>
      <c r="J508" s="53">
        <v>54610.7</v>
      </c>
      <c r="K508" s="53">
        <v>0</v>
      </c>
      <c r="L508" s="53">
        <f>G508+H508+I508-J508+K508</f>
        <v>1483882.4700000002</v>
      </c>
      <c r="M508" s="53">
        <v>5392.11</v>
      </c>
      <c r="N508" s="53">
        <f>L508-M508</f>
        <v>1478490.36</v>
      </c>
      <c r="O508" s="53">
        <v>78930.289999999994</v>
      </c>
      <c r="P508" s="53">
        <v>25211.23</v>
      </c>
      <c r="Q508" s="53">
        <f>N508-O508-P508</f>
        <v>1374348.84</v>
      </c>
      <c r="S508" s="53">
        <f>Q508+Q520</f>
        <v>5942952.7699999996</v>
      </c>
    </row>
    <row r="509" spans="1:22">
      <c r="A509" s="67" t="s">
        <v>20</v>
      </c>
      <c r="B509" s="48">
        <f t="shared" si="127"/>
        <v>0.28000000000000003</v>
      </c>
      <c r="C509" s="48">
        <f t="shared" si="127"/>
        <v>0</v>
      </c>
      <c r="D509" s="43"/>
      <c r="E509" s="173"/>
      <c r="F509" s="43">
        <v>9675165.4499999993</v>
      </c>
      <c r="G509" s="53">
        <v>26554.67</v>
      </c>
      <c r="H509" s="53">
        <v>535.51</v>
      </c>
      <c r="I509" s="53">
        <v>0</v>
      </c>
      <c r="J509" s="53">
        <v>0</v>
      </c>
      <c r="K509" s="53">
        <v>0</v>
      </c>
      <c r="L509" s="53">
        <f>G509+H509+I509-J509+K509</f>
        <v>27090.179999999997</v>
      </c>
      <c r="M509" s="53">
        <v>0.04</v>
      </c>
      <c r="N509" s="53">
        <f>L509-M509</f>
        <v>27090.139999999996</v>
      </c>
      <c r="O509" s="483">
        <v>1245.4000000000001</v>
      </c>
      <c r="P509" s="53">
        <v>328.3</v>
      </c>
      <c r="Q509" s="53">
        <f>N509-O509-P509</f>
        <v>25516.439999999995</v>
      </c>
      <c r="S509" s="53">
        <f>Q509+Q521</f>
        <v>225007.66000000003</v>
      </c>
    </row>
    <row r="510" spans="1:22">
      <c r="A510" s="47"/>
      <c r="B510" s="48"/>
      <c r="C510" s="48"/>
      <c r="D510" s="43"/>
      <c r="E510" s="173"/>
      <c r="F510" s="43"/>
      <c r="T510" s="158"/>
      <c r="U510" s="158"/>
      <c r="V510" s="158"/>
    </row>
    <row r="511" spans="1:22" s="50" customFormat="1" ht="13.5" thickBot="1">
      <c r="A511" s="160" t="str">
        <f>"TOTAL "&amp; A502</f>
        <v>TOTAL LVMPD MANPOWER (LV)</v>
      </c>
      <c r="B511" s="68">
        <f>B504</f>
        <v>0.28000000000000003</v>
      </c>
      <c r="C511" s="68">
        <f>C504</f>
        <v>0</v>
      </c>
      <c r="D511" s="69">
        <f t="shared" ref="D511:Q511" si="128">SUM(D504:D506,D508:D509)</f>
        <v>227865</v>
      </c>
      <c r="E511" s="204"/>
      <c r="F511" s="69">
        <f t="shared" si="128"/>
        <v>38323214617.25428</v>
      </c>
      <c r="G511" s="70">
        <f t="shared" si="128"/>
        <v>2027589.52</v>
      </c>
      <c r="H511" s="70">
        <f t="shared" si="128"/>
        <v>103052950.54000001</v>
      </c>
      <c r="I511" s="70">
        <f t="shared" si="128"/>
        <v>0</v>
      </c>
      <c r="J511" s="70">
        <f t="shared" si="128"/>
        <v>9444775.5099999998</v>
      </c>
      <c r="K511" s="70">
        <f t="shared" si="128"/>
        <v>0</v>
      </c>
      <c r="L511" s="70">
        <f t="shared" si="128"/>
        <v>95635764.550000012</v>
      </c>
      <c r="M511" s="70">
        <f t="shared" si="128"/>
        <v>21017188.32</v>
      </c>
      <c r="N511" s="70">
        <f t="shared" si="128"/>
        <v>74618576.230000004</v>
      </c>
      <c r="O511" s="70">
        <f t="shared" si="128"/>
        <v>80175.689999999988</v>
      </c>
      <c r="P511" s="70">
        <f t="shared" si="128"/>
        <v>25539.53</v>
      </c>
      <c r="Q511" s="70">
        <f t="shared" si="128"/>
        <v>74512861.010000005</v>
      </c>
      <c r="T511" s="158"/>
      <c r="U511" s="95"/>
      <c r="V511" s="159"/>
    </row>
    <row r="512" spans="1:22">
      <c r="A512" s="150" t="s">
        <v>355</v>
      </c>
      <c r="B512" s="48"/>
      <c r="C512" s="48"/>
      <c r="D512" s="43"/>
      <c r="E512" s="173"/>
      <c r="F512" s="64">
        <v>32691078620</v>
      </c>
    </row>
    <row r="513" spans="1:24">
      <c r="A513" s="151" t="s">
        <v>30</v>
      </c>
      <c r="B513" s="51"/>
      <c r="C513" s="51"/>
      <c r="D513" s="52"/>
      <c r="E513" s="203"/>
      <c r="F513" s="152">
        <f>(F511-ROUND(J504/B504*100,0))-F512</f>
        <v>2278505708.2542801</v>
      </c>
    </row>
    <row r="514" spans="1:24">
      <c r="A514" s="332" t="s">
        <v>299</v>
      </c>
    </row>
    <row r="515" spans="1:24">
      <c r="E515" s="65">
        <v>1200000000</v>
      </c>
      <c r="X515" s="50"/>
    </row>
    <row r="516" spans="1:24">
      <c r="A516" s="49" t="s">
        <v>15</v>
      </c>
      <c r="B516" s="48">
        <v>0.28000000000000003</v>
      </c>
      <c r="C516" s="48">
        <v>0</v>
      </c>
      <c r="D516" s="43">
        <v>367110</v>
      </c>
      <c r="E516" s="173">
        <f>G516/B516*100</f>
        <v>185938082.14285713</v>
      </c>
      <c r="F516" s="43">
        <v>84477891692</v>
      </c>
      <c r="G516" s="53">
        <v>520626.63</v>
      </c>
      <c r="H516" s="53">
        <v>234874122.39000002</v>
      </c>
      <c r="I516" s="53">
        <v>0</v>
      </c>
      <c r="J516" s="53">
        <v>27457682.909999996</v>
      </c>
      <c r="K516" s="53">
        <v>0</v>
      </c>
      <c r="L516" s="53">
        <f>G516+H516+I516-J516+K516</f>
        <v>207937066.11000001</v>
      </c>
      <c r="M516" s="53">
        <v>44704308.079999998</v>
      </c>
      <c r="N516" s="53">
        <f>L516-M516</f>
        <v>163232758.03000003</v>
      </c>
      <c r="O516" s="53">
        <v>0</v>
      </c>
      <c r="P516" s="53">
        <v>0</v>
      </c>
      <c r="Q516" s="53">
        <f>N516-O516-P516</f>
        <v>163232758.03000003</v>
      </c>
      <c r="T516" s="159"/>
      <c r="U516" s="159"/>
      <c r="V516" s="159"/>
    </row>
    <row r="517" spans="1:24">
      <c r="A517" s="47" t="s">
        <v>16</v>
      </c>
      <c r="B517" s="48">
        <f>B$516</f>
        <v>0.28000000000000003</v>
      </c>
      <c r="C517" s="48">
        <f>C$516</f>
        <v>0</v>
      </c>
      <c r="D517" s="43"/>
      <c r="E517" s="173"/>
      <c r="F517" s="65">
        <f>IF(E515&gt;E516,E515-E516,0)</f>
        <v>1014061917.8571429</v>
      </c>
      <c r="G517" s="53">
        <f>F517*(B517-C517)/100</f>
        <v>2839373.3700000006</v>
      </c>
      <c r="I517" s="53">
        <f>F517*C517/100</f>
        <v>0</v>
      </c>
      <c r="L517" s="53">
        <f>G517+H517+I517-J517+K517</f>
        <v>2839373.3700000006</v>
      </c>
      <c r="N517" s="53">
        <f>L517-M517</f>
        <v>2839373.3700000006</v>
      </c>
      <c r="Q517" s="53">
        <f>N517-O517-P517</f>
        <v>2839373.3700000006</v>
      </c>
    </row>
    <row r="518" spans="1:24">
      <c r="A518" s="47" t="s">
        <v>17</v>
      </c>
      <c r="B518" s="48">
        <f t="shared" ref="B518:C521" si="129">B$516</f>
        <v>0.28000000000000003</v>
      </c>
      <c r="C518" s="48">
        <f t="shared" si="129"/>
        <v>0</v>
      </c>
      <c r="D518" s="43"/>
      <c r="E518" s="173"/>
      <c r="F518" s="66">
        <v>4000000000</v>
      </c>
      <c r="H518" s="53">
        <f>F518*(B518-C518)/100</f>
        <v>11200000</v>
      </c>
      <c r="I518" s="53">
        <f>F518*C518/100</f>
        <v>0</v>
      </c>
      <c r="J518" s="53">
        <v>0</v>
      </c>
      <c r="K518" s="53">
        <v>0</v>
      </c>
      <c r="L518" s="53">
        <f>G518+H518+I518-J518+K518</f>
        <v>11200000</v>
      </c>
      <c r="M518" s="53">
        <v>0</v>
      </c>
      <c r="N518" s="53">
        <f>L518-M518</f>
        <v>11200000</v>
      </c>
      <c r="O518" s="53">
        <v>0</v>
      </c>
      <c r="P518" s="53">
        <v>0</v>
      </c>
      <c r="Q518" s="53">
        <f>N518-O518-P518</f>
        <v>11200000</v>
      </c>
    </row>
    <row r="519" spans="1:24">
      <c r="A519" s="47" t="s">
        <v>18</v>
      </c>
      <c r="B519" s="48"/>
      <c r="C519" s="48"/>
      <c r="D519" s="43"/>
      <c r="E519" s="173"/>
      <c r="F519" s="43"/>
    </row>
    <row r="520" spans="1:24">
      <c r="A520" s="67" t="s">
        <v>19</v>
      </c>
      <c r="B520" s="48">
        <f t="shared" si="129"/>
        <v>0.28000000000000003</v>
      </c>
      <c r="C520" s="48">
        <f t="shared" si="129"/>
        <v>0</v>
      </c>
      <c r="D520" s="43"/>
      <c r="E520" s="173"/>
      <c r="F520" s="43">
        <v>1860021653.1600001</v>
      </c>
      <c r="G520" s="53">
        <v>2261193.1</v>
      </c>
      <c r="H520" s="53">
        <v>2947838.27</v>
      </c>
      <c r="I520" s="53">
        <v>0</v>
      </c>
      <c r="J520" s="53">
        <v>346603.92</v>
      </c>
      <c r="K520" s="53">
        <v>0</v>
      </c>
      <c r="L520" s="53">
        <f>G520+H520+I520-J520+K520</f>
        <v>4862427.45</v>
      </c>
      <c r="M520" s="53">
        <v>212717.82</v>
      </c>
      <c r="N520" s="53">
        <f>L520-M520</f>
        <v>4649709.63</v>
      </c>
      <c r="O520" s="53">
        <v>7176.95</v>
      </c>
      <c r="P520" s="53">
        <v>73928.75</v>
      </c>
      <c r="Q520" s="53">
        <f>N520-O520-P520</f>
        <v>4568603.93</v>
      </c>
      <c r="S520" s="53">
        <f>Q508+Q520</f>
        <v>5942952.7699999996</v>
      </c>
    </row>
    <row r="521" spans="1:24">
      <c r="A521" s="67" t="s">
        <v>20</v>
      </c>
      <c r="B521" s="48">
        <f t="shared" si="129"/>
        <v>0.28000000000000003</v>
      </c>
      <c r="C521" s="48">
        <f t="shared" si="129"/>
        <v>0</v>
      </c>
      <c r="D521" s="43"/>
      <c r="E521" s="173"/>
      <c r="F521" s="43">
        <v>71510300.569999993</v>
      </c>
      <c r="G521" s="53">
        <v>191817.34</v>
      </c>
      <c r="H521" s="53">
        <v>8410.61</v>
      </c>
      <c r="I521" s="53">
        <v>0</v>
      </c>
      <c r="J521" s="53">
        <v>0</v>
      </c>
      <c r="K521" s="53">
        <v>0</v>
      </c>
      <c r="L521" s="53">
        <f>G521+H521+I521-J521+K521</f>
        <v>200227.95</v>
      </c>
      <c r="M521" s="53">
        <v>1.24</v>
      </c>
      <c r="N521" s="53">
        <f>L521-M521</f>
        <v>200226.71000000002</v>
      </c>
      <c r="O521" s="53">
        <v>78.66</v>
      </c>
      <c r="P521" s="53">
        <v>656.83</v>
      </c>
      <c r="Q521" s="53">
        <f>N521-O521-P521</f>
        <v>199491.22000000003</v>
      </c>
    </row>
    <row r="522" spans="1:24">
      <c r="A522" s="47"/>
      <c r="B522" s="48"/>
      <c r="C522" s="48"/>
      <c r="D522" s="43"/>
      <c r="E522" s="173"/>
      <c r="F522" s="43"/>
    </row>
    <row r="523" spans="1:24" s="50" customFormat="1" ht="13.5" thickBot="1">
      <c r="A523" s="160" t="str">
        <f>"TOTAL "&amp; A514</f>
        <v>TOTAL LVMPD MANPOWER (CO)</v>
      </c>
      <c r="B523" s="68">
        <f>B516</f>
        <v>0.28000000000000003</v>
      </c>
      <c r="C523" s="68">
        <f>C516</f>
        <v>0</v>
      </c>
      <c r="D523" s="69">
        <f t="shared" ref="D523:Q523" si="130">SUM(D516:D518,D520:D521)</f>
        <v>367110</v>
      </c>
      <c r="E523" s="204"/>
      <c r="F523" s="69">
        <f t="shared" si="130"/>
        <v>91423485563.587158</v>
      </c>
      <c r="G523" s="70">
        <f t="shared" si="130"/>
        <v>5813010.4400000004</v>
      </c>
      <c r="H523" s="70">
        <f t="shared" si="130"/>
        <v>249030371.27000004</v>
      </c>
      <c r="I523" s="70">
        <f t="shared" si="130"/>
        <v>0</v>
      </c>
      <c r="J523" s="70">
        <f t="shared" si="130"/>
        <v>27804286.829999998</v>
      </c>
      <c r="K523" s="70">
        <f t="shared" si="130"/>
        <v>0</v>
      </c>
      <c r="L523" s="70">
        <f t="shared" si="130"/>
        <v>227039094.88</v>
      </c>
      <c r="M523" s="70">
        <f t="shared" si="130"/>
        <v>44917027.140000001</v>
      </c>
      <c r="N523" s="70">
        <f t="shared" si="130"/>
        <v>182122067.74000004</v>
      </c>
      <c r="O523" s="70">
        <f t="shared" si="130"/>
        <v>7255.61</v>
      </c>
      <c r="P523" s="70">
        <f t="shared" si="130"/>
        <v>74585.58</v>
      </c>
      <c r="Q523" s="70">
        <f t="shared" si="130"/>
        <v>182040226.55000004</v>
      </c>
    </row>
    <row r="524" spans="1:24">
      <c r="A524" s="150" t="s">
        <v>355</v>
      </c>
      <c r="B524" s="48"/>
      <c r="C524" s="48"/>
      <c r="D524" s="43"/>
      <c r="E524" s="173"/>
      <c r="F524" s="24">
        <v>79987418201</v>
      </c>
    </row>
    <row r="525" spans="1:24">
      <c r="A525" s="151" t="s">
        <v>30</v>
      </c>
      <c r="B525" s="51"/>
      <c r="C525" s="51"/>
      <c r="D525" s="52"/>
      <c r="E525" s="203"/>
      <c r="F525" s="152">
        <f>(F523-ROUND(J516/B516*100,0))-F524</f>
        <v>1629752037.5871582</v>
      </c>
    </row>
    <row r="526" spans="1:24">
      <c r="A526" s="54" t="s">
        <v>300</v>
      </c>
      <c r="B526" s="50"/>
      <c r="C526" s="50"/>
      <c r="D526" s="50"/>
      <c r="E526" s="203"/>
      <c r="F526" s="50"/>
      <c r="G526" s="59"/>
    </row>
    <row r="527" spans="1:24">
      <c r="E527" s="65">
        <v>1500000000</v>
      </c>
    </row>
    <row r="528" spans="1:24">
      <c r="A528" s="49" t="s">
        <v>15</v>
      </c>
      <c r="B528" s="48">
        <v>5.0000000000000001E-3</v>
      </c>
      <c r="C528" s="48">
        <v>0</v>
      </c>
      <c r="D528" s="43">
        <v>578814</v>
      </c>
      <c r="E528" s="223">
        <f>G528/B528*100</f>
        <v>335626999.99999994</v>
      </c>
      <c r="F528" s="43">
        <v>118373355830</v>
      </c>
      <c r="G528" s="53">
        <v>16781.349999999999</v>
      </c>
      <c r="H528" s="53">
        <v>5692929.8899999997</v>
      </c>
      <c r="I528" s="53">
        <v>0</v>
      </c>
      <c r="J528" s="53">
        <v>529674.52</v>
      </c>
      <c r="K528" s="53">
        <v>0</v>
      </c>
      <c r="L528" s="53">
        <f>G528+H528+I528-J528+K528</f>
        <v>5180036.7199999988</v>
      </c>
      <c r="M528" s="53">
        <v>1135687.4300000002</v>
      </c>
      <c r="N528" s="53">
        <f>L528-M528</f>
        <v>4044349.2899999986</v>
      </c>
      <c r="O528" s="53">
        <v>0</v>
      </c>
      <c r="P528" s="53">
        <v>0</v>
      </c>
      <c r="Q528" s="53">
        <f>N528-O528-P528</f>
        <v>4044349.2899999986</v>
      </c>
    </row>
    <row r="529" spans="1:17">
      <c r="A529" s="47" t="s">
        <v>16</v>
      </c>
      <c r="B529" s="48">
        <f>B$528</f>
        <v>5.0000000000000001E-3</v>
      </c>
      <c r="C529" s="48">
        <f>C$528</f>
        <v>0</v>
      </c>
      <c r="D529" s="43"/>
      <c r="E529" s="203"/>
      <c r="F529" s="65">
        <f>IF(E527&gt;E528,E527-E528,0)</f>
        <v>1164373000</v>
      </c>
      <c r="G529" s="53">
        <f>F529*(B529-C529)/100</f>
        <v>58218.65</v>
      </c>
      <c r="I529" s="53">
        <f>F529*C529/100</f>
        <v>0</v>
      </c>
      <c r="L529" s="53">
        <f>G529+H529+I529-J529+K529</f>
        <v>58218.65</v>
      </c>
      <c r="N529" s="53">
        <f>L529-M529</f>
        <v>58218.65</v>
      </c>
      <c r="Q529" s="53">
        <f>N529-O529-P529</f>
        <v>58218.65</v>
      </c>
    </row>
    <row r="530" spans="1:17">
      <c r="A530" s="47" t="s">
        <v>17</v>
      </c>
      <c r="B530" s="48">
        <f t="shared" ref="B530:C533" si="131">B$528</f>
        <v>5.0000000000000001E-3</v>
      </c>
      <c r="C530" s="48">
        <f t="shared" si="131"/>
        <v>0</v>
      </c>
      <c r="D530" s="43"/>
      <c r="E530" s="203"/>
      <c r="F530" s="66">
        <v>4000000000</v>
      </c>
      <c r="H530" s="53">
        <f>F530*(B530-C530)/100</f>
        <v>200000</v>
      </c>
      <c r="I530" s="53">
        <v>0</v>
      </c>
      <c r="J530" s="53">
        <v>0</v>
      </c>
      <c r="K530" s="53">
        <v>0</v>
      </c>
      <c r="L530" s="53">
        <f>G530+H530+I530-J530+K530</f>
        <v>200000</v>
      </c>
      <c r="M530" s="53">
        <v>0</v>
      </c>
      <c r="N530" s="53">
        <f>L530-M530</f>
        <v>200000</v>
      </c>
      <c r="O530" s="53">
        <v>0</v>
      </c>
      <c r="P530" s="53">
        <v>0</v>
      </c>
      <c r="Q530" s="53">
        <f>N530-O530-P530</f>
        <v>200000</v>
      </c>
    </row>
    <row r="531" spans="1:17">
      <c r="A531" s="47" t="s">
        <v>18</v>
      </c>
      <c r="B531" s="48"/>
      <c r="C531" s="48"/>
      <c r="D531" s="43"/>
      <c r="E531" s="203"/>
      <c r="F531" s="43"/>
    </row>
    <row r="532" spans="1:17">
      <c r="A532" s="67" t="s">
        <v>19</v>
      </c>
      <c r="B532" s="48">
        <f t="shared" si="131"/>
        <v>5.0000000000000001E-3</v>
      </c>
      <c r="C532" s="48">
        <f t="shared" si="131"/>
        <v>0</v>
      </c>
      <c r="D532" s="43"/>
      <c r="E532" s="203"/>
      <c r="F532" s="43">
        <v>1822891421.77</v>
      </c>
      <c r="G532" s="53">
        <v>19596.82</v>
      </c>
      <c r="H532" s="53">
        <v>71547.95</v>
      </c>
      <c r="I532" s="53">
        <v>0</v>
      </c>
      <c r="J532" s="53">
        <v>3733.83</v>
      </c>
      <c r="K532" s="53">
        <v>0</v>
      </c>
      <c r="L532" s="53">
        <f>G532+H532+I532-J532+K532</f>
        <v>87410.939999999988</v>
      </c>
      <c r="M532" s="53">
        <v>982.63</v>
      </c>
      <c r="N532" s="53">
        <f>L532-M532</f>
        <v>86428.309999999983</v>
      </c>
      <c r="O532" s="53">
        <v>1537.65</v>
      </c>
      <c r="P532" s="53">
        <v>1394.81</v>
      </c>
      <c r="Q532" s="53">
        <f>N532-O532-P532</f>
        <v>83495.849999999991</v>
      </c>
    </row>
    <row r="533" spans="1:17">
      <c r="A533" s="67" t="s">
        <v>20</v>
      </c>
      <c r="B533" s="48">
        <f t="shared" si="131"/>
        <v>5.0000000000000001E-3</v>
      </c>
      <c r="C533" s="48">
        <f t="shared" si="131"/>
        <v>0</v>
      </c>
      <c r="D533" s="43"/>
      <c r="E533" s="203"/>
      <c r="F533" s="43">
        <v>41538253.359999999</v>
      </c>
      <c r="G533" s="53">
        <v>2016.26</v>
      </c>
      <c r="H533" s="53">
        <v>59.63</v>
      </c>
      <c r="I533" s="53">
        <v>0</v>
      </c>
      <c r="J533" s="53">
        <v>0</v>
      </c>
      <c r="K533" s="53">
        <v>0</v>
      </c>
      <c r="L533" s="53">
        <f>G533+H533+I533-J533+K533</f>
        <v>2075.89</v>
      </c>
      <c r="M533" s="53">
        <v>0.01</v>
      </c>
      <c r="N533" s="53">
        <f>L533-M533</f>
        <v>2075.8799999999997</v>
      </c>
      <c r="O533" s="53">
        <v>23.57</v>
      </c>
      <c r="P533" s="53">
        <v>16.010000000000002</v>
      </c>
      <c r="Q533" s="53">
        <f>N533-O533-P533</f>
        <v>2036.2999999999995</v>
      </c>
    </row>
    <row r="534" spans="1:17">
      <c r="A534" s="47"/>
      <c r="B534" s="48"/>
      <c r="C534" s="48"/>
      <c r="D534" s="43"/>
      <c r="E534" s="203"/>
      <c r="F534" s="43"/>
    </row>
    <row r="535" spans="1:17" s="50" customFormat="1" ht="13.5" thickBot="1">
      <c r="A535" s="160" t="str">
        <f>"TOTAL "&amp; A526</f>
        <v>TOTAL LVMPD EMERGENCY 911</v>
      </c>
      <c r="B535" s="68">
        <f>B528</f>
        <v>5.0000000000000001E-3</v>
      </c>
      <c r="C535" s="68">
        <f>C528</f>
        <v>0</v>
      </c>
      <c r="D535" s="69">
        <f t="shared" ref="D535:Q535" si="132">SUM(D528:D530,D532:D533)</f>
        <v>578814</v>
      </c>
      <c r="E535" s="204"/>
      <c r="F535" s="69">
        <f t="shared" si="132"/>
        <v>125402158505.13</v>
      </c>
      <c r="G535" s="70">
        <f t="shared" si="132"/>
        <v>96613.08</v>
      </c>
      <c r="H535" s="70">
        <f t="shared" si="132"/>
        <v>5964537.4699999997</v>
      </c>
      <c r="I535" s="70">
        <f t="shared" si="132"/>
        <v>0</v>
      </c>
      <c r="J535" s="70">
        <f t="shared" si="132"/>
        <v>533408.35</v>
      </c>
      <c r="K535" s="70">
        <f t="shared" si="132"/>
        <v>0</v>
      </c>
      <c r="L535" s="70">
        <f t="shared" si="132"/>
        <v>5527742.1999999993</v>
      </c>
      <c r="M535" s="70">
        <f t="shared" si="132"/>
        <v>1136670.07</v>
      </c>
      <c r="N535" s="70">
        <f t="shared" si="132"/>
        <v>4391072.129999998</v>
      </c>
      <c r="O535" s="70">
        <f t="shared" si="132"/>
        <v>1561.22</v>
      </c>
      <c r="P535" s="70">
        <f t="shared" si="132"/>
        <v>1410.82</v>
      </c>
      <c r="Q535" s="70">
        <f t="shared" si="132"/>
        <v>4388100.089999998</v>
      </c>
    </row>
    <row r="536" spans="1:17">
      <c r="A536" s="150" t="s">
        <v>355</v>
      </c>
      <c r="B536" s="48"/>
      <c r="C536" s="48"/>
      <c r="D536" s="43"/>
      <c r="E536" s="173"/>
      <c r="F536" s="64">
        <v>110557152961</v>
      </c>
    </row>
    <row r="537" spans="1:17">
      <c r="A537" s="151" t="s">
        <v>30</v>
      </c>
      <c r="B537" s="51"/>
      <c r="C537" s="51"/>
      <c r="D537" s="52"/>
      <c r="E537" s="203"/>
      <c r="F537" s="152">
        <f>(F535-ROUND(J528/B528*100,0))-F536</f>
        <v>4251515144.1300049</v>
      </c>
    </row>
    <row r="538" spans="1:17">
      <c r="A538" s="54" t="s">
        <v>301</v>
      </c>
    </row>
    <row r="539" spans="1:17">
      <c r="A539" s="83"/>
      <c r="B539" s="85"/>
      <c r="C539" s="85"/>
      <c r="D539" s="85"/>
      <c r="E539" s="65">
        <v>77000000</v>
      </c>
      <c r="F539" s="85"/>
      <c r="G539" s="86"/>
    </row>
    <row r="540" spans="1:17">
      <c r="A540" s="49" t="s">
        <v>15</v>
      </c>
      <c r="B540" s="48"/>
      <c r="C540" s="48"/>
      <c r="D540" s="43">
        <v>8596</v>
      </c>
      <c r="E540" s="173"/>
      <c r="F540" s="43">
        <v>3865624628</v>
      </c>
      <c r="G540" s="53">
        <v>90439.679999999993</v>
      </c>
      <c r="H540" s="53">
        <v>66848477.719999999</v>
      </c>
      <c r="I540" s="53">
        <v>0</v>
      </c>
      <c r="J540" s="53">
        <v>16969015.920000002</v>
      </c>
      <c r="K540" s="53">
        <v>0</v>
      </c>
      <c r="L540" s="53">
        <f>G540+H540+I540-J540+K540</f>
        <v>49969901.479999997</v>
      </c>
      <c r="M540" s="53">
        <v>8391183.8000000007</v>
      </c>
      <c r="N540" s="53">
        <f>L540-M540</f>
        <v>41578717.679999992</v>
      </c>
      <c r="O540" s="53">
        <v>0</v>
      </c>
      <c r="P540" s="53">
        <v>0</v>
      </c>
      <c r="Q540" s="53">
        <f>N540-O540-P540</f>
        <v>41578717.679999992</v>
      </c>
    </row>
    <row r="541" spans="1:17">
      <c r="A541" s="47" t="s">
        <v>16</v>
      </c>
      <c r="B541" s="48">
        <f>B$540</f>
        <v>0</v>
      </c>
      <c r="C541" s="48">
        <f>C$540</f>
        <v>0</v>
      </c>
      <c r="D541" s="43"/>
      <c r="E541" s="173"/>
      <c r="F541" s="65">
        <f>IF(E539&gt;E540,E539-E540,0)</f>
        <v>77000000</v>
      </c>
      <c r="G541" s="53">
        <f>F541*(B541-C541)/100</f>
        <v>0</v>
      </c>
      <c r="I541" s="53">
        <f>F541*C541/100</f>
        <v>0</v>
      </c>
      <c r="L541" s="53">
        <f>G541+H541+I541-J541+K541</f>
        <v>0</v>
      </c>
      <c r="N541" s="53">
        <f>L541-M541</f>
        <v>0</v>
      </c>
      <c r="Q541" s="53">
        <f>N541-O541-P541</f>
        <v>0</v>
      </c>
    </row>
    <row r="542" spans="1:17">
      <c r="A542" s="47" t="s">
        <v>17</v>
      </c>
      <c r="B542" s="48">
        <f t="shared" ref="B542:C545" si="133">B$540</f>
        <v>0</v>
      </c>
      <c r="C542" s="48">
        <f t="shared" si="133"/>
        <v>0</v>
      </c>
      <c r="D542" s="43"/>
      <c r="E542" s="173"/>
      <c r="F542" s="66">
        <v>200000000</v>
      </c>
      <c r="H542" s="53">
        <f>F542*(B542-C542)/100</f>
        <v>0</v>
      </c>
      <c r="I542" s="53">
        <f>F542*C542/100</f>
        <v>0</v>
      </c>
      <c r="J542" s="53">
        <v>0</v>
      </c>
      <c r="K542" s="53">
        <v>0</v>
      </c>
      <c r="L542" s="53">
        <f>G542+H542+I542-J542+K542</f>
        <v>0</v>
      </c>
      <c r="M542" s="53">
        <v>0</v>
      </c>
      <c r="N542" s="53">
        <f>L542-M542</f>
        <v>0</v>
      </c>
      <c r="O542" s="53">
        <v>0</v>
      </c>
      <c r="P542" s="53">
        <v>0</v>
      </c>
      <c r="Q542" s="53">
        <f>N542-O542-P542</f>
        <v>0</v>
      </c>
    </row>
    <row r="543" spans="1:17">
      <c r="A543" s="47" t="s">
        <v>18</v>
      </c>
      <c r="B543" s="48"/>
      <c r="C543" s="48"/>
      <c r="D543" s="43"/>
      <c r="E543" s="173"/>
      <c r="F543" s="43"/>
    </row>
    <row r="544" spans="1:17">
      <c r="A544" s="67" t="s">
        <v>19</v>
      </c>
      <c r="B544" s="48">
        <f t="shared" si="133"/>
        <v>0</v>
      </c>
      <c r="C544" s="48">
        <f t="shared" si="133"/>
        <v>0</v>
      </c>
      <c r="D544" s="43"/>
      <c r="E544" s="173"/>
      <c r="F544" s="43">
        <v>36484765.859999999</v>
      </c>
      <c r="G544" s="53">
        <v>0</v>
      </c>
      <c r="H544" s="53">
        <v>0</v>
      </c>
      <c r="I544" s="53">
        <v>0</v>
      </c>
      <c r="J544" s="53">
        <v>0</v>
      </c>
      <c r="K544" s="53">
        <v>0</v>
      </c>
      <c r="L544" s="53">
        <f>G544+H544+I544-J544+K544</f>
        <v>0</v>
      </c>
      <c r="M544" s="53">
        <v>0</v>
      </c>
      <c r="N544" s="53">
        <f>L544-M544</f>
        <v>0</v>
      </c>
      <c r="O544" s="53">
        <v>0</v>
      </c>
      <c r="P544" s="53">
        <v>0</v>
      </c>
      <c r="Q544" s="53">
        <f>N544-O544-P544</f>
        <v>0</v>
      </c>
    </row>
    <row r="545" spans="1:17">
      <c r="A545" s="67" t="s">
        <v>20</v>
      </c>
      <c r="B545" s="48">
        <f t="shared" si="133"/>
        <v>0</v>
      </c>
      <c r="C545" s="48">
        <f t="shared" si="133"/>
        <v>0</v>
      </c>
      <c r="D545" s="43"/>
      <c r="E545" s="173"/>
      <c r="F545" s="43">
        <v>589387.13</v>
      </c>
      <c r="G545" s="53">
        <v>0</v>
      </c>
      <c r="H545" s="53">
        <v>0</v>
      </c>
      <c r="I545" s="53">
        <v>0</v>
      </c>
      <c r="J545" s="53">
        <v>0</v>
      </c>
      <c r="K545" s="53">
        <v>0</v>
      </c>
      <c r="L545" s="53">
        <f>G545+H545+I545-J545+K545</f>
        <v>0</v>
      </c>
      <c r="M545" s="53">
        <v>0</v>
      </c>
      <c r="N545" s="53">
        <f>L545-M545</f>
        <v>0</v>
      </c>
      <c r="O545" s="53">
        <v>0</v>
      </c>
      <c r="P545" s="53">
        <v>0</v>
      </c>
      <c r="Q545" s="53">
        <f>N545-O545-P545</f>
        <v>0</v>
      </c>
    </row>
    <row r="546" spans="1:17">
      <c r="A546" s="47"/>
      <c r="B546" s="48"/>
      <c r="C546" s="48"/>
      <c r="D546" s="43"/>
      <c r="E546" s="173"/>
      <c r="F546" s="43"/>
    </row>
    <row r="547" spans="1:17" s="50" customFormat="1" ht="13.5" thickBot="1">
      <c r="A547" s="160" t="str">
        <f>"TOTAL "&amp; A538</f>
        <v>TOTAL LAS VEGAS REDEVELOPMENT</v>
      </c>
      <c r="B547" s="68">
        <f>B540</f>
        <v>0</v>
      </c>
      <c r="C547" s="68">
        <f>C540</f>
        <v>0</v>
      </c>
      <c r="D547" s="69">
        <f t="shared" ref="D547:Q547" si="134">SUM(D540:D542,D544:D545)</f>
        <v>8596</v>
      </c>
      <c r="E547" s="204"/>
      <c r="F547" s="69">
        <f t="shared" si="134"/>
        <v>4179698780.9900002</v>
      </c>
      <c r="G547" s="70">
        <f t="shared" si="134"/>
        <v>90439.679999999993</v>
      </c>
      <c r="H547" s="70">
        <f t="shared" si="134"/>
        <v>66848477.719999999</v>
      </c>
      <c r="I547" s="70">
        <f t="shared" si="134"/>
        <v>0</v>
      </c>
      <c r="J547" s="70">
        <f t="shared" si="134"/>
        <v>16969015.920000002</v>
      </c>
      <c r="K547" s="70">
        <f t="shared" si="134"/>
        <v>0</v>
      </c>
      <c r="L547" s="70">
        <f t="shared" si="134"/>
        <v>49969901.479999997</v>
      </c>
      <c r="M547" s="70">
        <f t="shared" si="134"/>
        <v>8391183.8000000007</v>
      </c>
      <c r="N547" s="70">
        <f t="shared" si="134"/>
        <v>41578717.679999992</v>
      </c>
      <c r="O547" s="70">
        <f t="shared" si="134"/>
        <v>0</v>
      </c>
      <c r="P547" s="70">
        <f t="shared" si="134"/>
        <v>0</v>
      </c>
      <c r="Q547" s="70">
        <f t="shared" si="134"/>
        <v>41578717.679999992</v>
      </c>
    </row>
    <row r="548" spans="1:17">
      <c r="A548" s="150" t="s">
        <v>355</v>
      </c>
      <c r="B548" s="48"/>
      <c r="C548" s="48"/>
      <c r="D548" s="43"/>
      <c r="E548" s="173"/>
      <c r="F548" s="64">
        <v>2295176961</v>
      </c>
    </row>
    <row r="549" spans="1:17">
      <c r="A549" s="151" t="s">
        <v>30</v>
      </c>
      <c r="B549" s="51"/>
      <c r="C549" s="51"/>
      <c r="D549" s="52"/>
      <c r="E549" s="203"/>
      <c r="F549" s="152"/>
    </row>
    <row r="550" spans="1:17">
      <c r="A550" s="54" t="s">
        <v>302</v>
      </c>
      <c r="B550" s="84"/>
      <c r="C550" s="84"/>
      <c r="D550" s="84"/>
      <c r="E550" s="210"/>
      <c r="F550" s="84"/>
      <c r="G550" s="59"/>
    </row>
    <row r="551" spans="1:17">
      <c r="E551" s="65">
        <v>5000000</v>
      </c>
    </row>
    <row r="552" spans="1:17">
      <c r="A552" s="49" t="s">
        <v>15</v>
      </c>
      <c r="B552" s="48">
        <v>0</v>
      </c>
      <c r="C552" s="48">
        <v>0</v>
      </c>
      <c r="D552" s="43">
        <v>1417</v>
      </c>
      <c r="E552" s="173"/>
      <c r="F552" s="43">
        <v>294346233</v>
      </c>
      <c r="G552" s="53">
        <v>18448.96</v>
      </c>
      <c r="H552" s="53">
        <v>5574213.1500000004</v>
      </c>
      <c r="I552" s="53">
        <v>0</v>
      </c>
      <c r="J552" s="53">
        <v>196970.65</v>
      </c>
      <c r="K552" s="53">
        <v>0</v>
      </c>
      <c r="L552" s="53">
        <f>G552+H552+I552-J552+K552</f>
        <v>5395691.46</v>
      </c>
      <c r="M552" s="53">
        <v>1014340.23</v>
      </c>
      <c r="N552" s="53">
        <f>L552-M552</f>
        <v>4381351.2300000004</v>
      </c>
      <c r="O552" s="53">
        <v>0</v>
      </c>
      <c r="P552" s="53">
        <v>0</v>
      </c>
      <c r="Q552" s="53">
        <f>N552-O552-P552</f>
        <v>4381351.2300000004</v>
      </c>
    </row>
    <row r="553" spans="1:17">
      <c r="A553" s="47" t="s">
        <v>16</v>
      </c>
      <c r="B553" s="48">
        <f>B$552</f>
        <v>0</v>
      </c>
      <c r="C553" s="48">
        <f>C$552</f>
        <v>0</v>
      </c>
      <c r="D553" s="43"/>
      <c r="E553" s="173"/>
      <c r="F553" s="65">
        <f>IF(E551&gt;E552,E551-E552,0)</f>
        <v>5000000</v>
      </c>
      <c r="G553" s="53">
        <f>F553*(B553-C553)/100</f>
        <v>0</v>
      </c>
      <c r="I553" s="53">
        <f>F553*C553/100</f>
        <v>0</v>
      </c>
      <c r="L553" s="53">
        <f>G553+H553+I553-J553+K553</f>
        <v>0</v>
      </c>
      <c r="N553" s="53">
        <f>L553-M553</f>
        <v>0</v>
      </c>
      <c r="Q553" s="53">
        <f>N553-O553-P553</f>
        <v>0</v>
      </c>
    </row>
    <row r="554" spans="1:17">
      <c r="A554" s="47" t="s">
        <v>17</v>
      </c>
      <c r="B554" s="48">
        <f t="shared" ref="B554:C557" si="135">B$552</f>
        <v>0</v>
      </c>
      <c r="C554" s="48">
        <f t="shared" si="135"/>
        <v>0</v>
      </c>
      <c r="D554" s="43"/>
      <c r="E554" s="173"/>
      <c r="F554" s="66">
        <v>25000000</v>
      </c>
      <c r="H554" s="53">
        <f>F554*(B554-C554)/100</f>
        <v>0</v>
      </c>
      <c r="I554" s="53">
        <f>F554*C554/100</f>
        <v>0</v>
      </c>
      <c r="J554" s="53">
        <v>0</v>
      </c>
      <c r="K554" s="53">
        <v>0</v>
      </c>
      <c r="L554" s="53">
        <f>G554+H554+I554-J554+K554</f>
        <v>0</v>
      </c>
      <c r="M554" s="53">
        <v>0</v>
      </c>
      <c r="N554" s="53">
        <f>L554-M554</f>
        <v>0</v>
      </c>
      <c r="O554" s="53">
        <v>0</v>
      </c>
      <c r="P554" s="53">
        <v>0</v>
      </c>
      <c r="Q554" s="53">
        <f>N554-O554-P554</f>
        <v>0</v>
      </c>
    </row>
    <row r="555" spans="1:17">
      <c r="A555" s="47" t="s">
        <v>18</v>
      </c>
      <c r="B555" s="48"/>
      <c r="C555" s="48"/>
      <c r="D555" s="43"/>
      <c r="E555" s="173"/>
      <c r="F555" s="43"/>
    </row>
    <row r="556" spans="1:17">
      <c r="A556" s="67" t="s">
        <v>19</v>
      </c>
      <c r="B556" s="48">
        <f t="shared" si="135"/>
        <v>0</v>
      </c>
      <c r="C556" s="48">
        <f t="shared" si="135"/>
        <v>0</v>
      </c>
      <c r="D556" s="43"/>
      <c r="E556" s="173"/>
      <c r="F556" s="43">
        <v>1420719</v>
      </c>
      <c r="G556" s="53">
        <v>0</v>
      </c>
      <c r="H556" s="53">
        <v>0</v>
      </c>
      <c r="I556" s="53">
        <v>0</v>
      </c>
      <c r="J556" s="53">
        <v>0</v>
      </c>
      <c r="K556" s="53">
        <v>0</v>
      </c>
      <c r="L556" s="53">
        <f>G556+H556+I556-J556+K556</f>
        <v>0</v>
      </c>
      <c r="M556" s="53">
        <v>0</v>
      </c>
      <c r="N556" s="53">
        <f>L556-M556</f>
        <v>0</v>
      </c>
      <c r="O556" s="53">
        <v>0</v>
      </c>
      <c r="P556" s="53">
        <v>0</v>
      </c>
      <c r="Q556" s="53">
        <f>N556-O556-P556</f>
        <v>0</v>
      </c>
    </row>
    <row r="557" spans="1:17">
      <c r="A557" s="67" t="s">
        <v>20</v>
      </c>
      <c r="B557" s="48">
        <f t="shared" si="135"/>
        <v>0</v>
      </c>
      <c r="C557" s="48">
        <f t="shared" si="135"/>
        <v>0</v>
      </c>
      <c r="D557" s="43"/>
      <c r="E557" s="173"/>
      <c r="F557" s="43">
        <v>108056.36</v>
      </c>
      <c r="G557" s="53">
        <v>0</v>
      </c>
      <c r="H557" s="53">
        <v>0</v>
      </c>
      <c r="I557" s="53">
        <v>0</v>
      </c>
      <c r="J557" s="53">
        <v>0</v>
      </c>
      <c r="K557" s="53">
        <v>0</v>
      </c>
      <c r="L557" s="53">
        <f>G557+H557+I557-J557+K557</f>
        <v>0</v>
      </c>
      <c r="M557" s="53">
        <v>0</v>
      </c>
      <c r="N557" s="53">
        <f>L557-M557</f>
        <v>0</v>
      </c>
      <c r="O557" s="53">
        <v>0</v>
      </c>
      <c r="P557" s="53">
        <v>0</v>
      </c>
      <c r="Q557" s="53">
        <f>N557-O557-P557</f>
        <v>0</v>
      </c>
    </row>
    <row r="558" spans="1:17">
      <c r="A558" s="47"/>
      <c r="B558" s="48"/>
      <c r="C558" s="48"/>
      <c r="D558" s="43"/>
      <c r="E558" s="173"/>
      <c r="F558" s="43"/>
    </row>
    <row r="559" spans="1:17" s="50" customFormat="1" ht="13.5" thickBot="1">
      <c r="A559" s="160" t="str">
        <f>"TOTAL "&amp; A550</f>
        <v>TOTAL MESQUITE REDEVELOPMENT</v>
      </c>
      <c r="B559" s="68">
        <f>B552</f>
        <v>0</v>
      </c>
      <c r="C559" s="68">
        <f>C552</f>
        <v>0</v>
      </c>
      <c r="D559" s="69">
        <f t="shared" ref="D559:Q559" si="136">SUM(D552:D554,D556:D557)</f>
        <v>1417</v>
      </c>
      <c r="E559" s="204"/>
      <c r="F559" s="69">
        <f t="shared" si="136"/>
        <v>325875008.36000001</v>
      </c>
      <c r="G559" s="70">
        <f t="shared" si="136"/>
        <v>18448.96</v>
      </c>
      <c r="H559" s="70">
        <f t="shared" si="136"/>
        <v>5574213.1500000004</v>
      </c>
      <c r="I559" s="70">
        <f t="shared" si="136"/>
        <v>0</v>
      </c>
      <c r="J559" s="70">
        <f t="shared" si="136"/>
        <v>196970.65</v>
      </c>
      <c r="K559" s="70">
        <f t="shared" si="136"/>
        <v>0</v>
      </c>
      <c r="L559" s="70">
        <f t="shared" si="136"/>
        <v>5395691.46</v>
      </c>
      <c r="M559" s="70">
        <f t="shared" si="136"/>
        <v>1014340.23</v>
      </c>
      <c r="N559" s="70">
        <f t="shared" si="136"/>
        <v>4381351.2300000004</v>
      </c>
      <c r="O559" s="70">
        <f t="shared" si="136"/>
        <v>0</v>
      </c>
      <c r="P559" s="70">
        <f t="shared" si="136"/>
        <v>0</v>
      </c>
      <c r="Q559" s="70">
        <f t="shared" si="136"/>
        <v>4381351.2300000004</v>
      </c>
    </row>
    <row r="560" spans="1:17">
      <c r="A560" s="150" t="s">
        <v>355</v>
      </c>
      <c r="B560" s="48"/>
      <c r="C560" s="48"/>
      <c r="D560" s="43"/>
      <c r="E560" s="173"/>
      <c r="F560" s="64">
        <v>272623737</v>
      </c>
    </row>
    <row r="561" spans="1:17">
      <c r="A561" s="151" t="s">
        <v>30</v>
      </c>
      <c r="B561" s="51"/>
      <c r="C561" s="51"/>
      <c r="D561" s="52"/>
      <c r="E561" s="203"/>
      <c r="F561" s="152"/>
    </row>
    <row r="562" spans="1:17">
      <c r="A562" s="54" t="s">
        <v>303</v>
      </c>
    </row>
    <row r="563" spans="1:17">
      <c r="E563" s="65">
        <v>200000</v>
      </c>
    </row>
    <row r="564" spans="1:17">
      <c r="A564" s="49" t="s">
        <v>15</v>
      </c>
      <c r="B564" s="48">
        <v>0.88129999999999997</v>
      </c>
      <c r="C564" s="48">
        <v>0</v>
      </c>
      <c r="D564" s="43">
        <v>1146</v>
      </c>
      <c r="E564" s="173">
        <f>G564/B564*100</f>
        <v>0</v>
      </c>
      <c r="F564" s="43">
        <v>113257292</v>
      </c>
      <c r="G564" s="53">
        <v>0</v>
      </c>
      <c r="H564" s="53">
        <v>998060.44</v>
      </c>
      <c r="I564" s="53">
        <v>0</v>
      </c>
      <c r="J564" s="53">
        <v>281520.14</v>
      </c>
      <c r="K564" s="53">
        <v>0</v>
      </c>
      <c r="L564" s="53">
        <f>G564+H564+I564-J564+K564</f>
        <v>716540.29999999993</v>
      </c>
      <c r="M564" s="53">
        <v>197260.96</v>
      </c>
      <c r="N564" s="53">
        <f>L564-M564</f>
        <v>519279.33999999997</v>
      </c>
      <c r="O564" s="53">
        <v>0</v>
      </c>
      <c r="P564" s="53">
        <v>0</v>
      </c>
      <c r="Q564" s="53">
        <f>N564-O564-P564</f>
        <v>519279.33999999997</v>
      </c>
    </row>
    <row r="565" spans="1:17">
      <c r="A565" s="47" t="s">
        <v>16</v>
      </c>
      <c r="B565" s="48">
        <f>B$564</f>
        <v>0.88129999999999997</v>
      </c>
      <c r="C565" s="48">
        <f>C$564</f>
        <v>0</v>
      </c>
      <c r="D565" s="43"/>
      <c r="E565" s="173"/>
      <c r="F565" s="65">
        <f>IF(E563&gt;E564,E563-E564,0)</f>
        <v>200000</v>
      </c>
      <c r="G565" s="53">
        <f>F565*(B565-C565)/100</f>
        <v>1762.6</v>
      </c>
      <c r="I565" s="53">
        <f>F565*C565/100</f>
        <v>0</v>
      </c>
      <c r="L565" s="53">
        <f>G565+H565+I565-J565+K565</f>
        <v>1762.6</v>
      </c>
      <c r="N565" s="53">
        <f>L565-M565</f>
        <v>1762.6</v>
      </c>
      <c r="Q565" s="53">
        <f>N565-O565-P565</f>
        <v>1762.6</v>
      </c>
    </row>
    <row r="566" spans="1:17">
      <c r="A566" s="47" t="s">
        <v>17</v>
      </c>
      <c r="B566" s="48">
        <f t="shared" ref="B566:C569" si="137">B$564</f>
        <v>0.88129999999999997</v>
      </c>
      <c r="C566" s="48">
        <f t="shared" si="137"/>
        <v>0</v>
      </c>
      <c r="D566" s="43"/>
      <c r="E566" s="173"/>
      <c r="F566" s="66">
        <v>1000000</v>
      </c>
      <c r="H566" s="53">
        <f>F566*(B566-C566)/100</f>
        <v>8813</v>
      </c>
      <c r="I566" s="53">
        <f>F566*C566/100</f>
        <v>0</v>
      </c>
      <c r="J566" s="53">
        <v>0</v>
      </c>
      <c r="K566" s="53">
        <v>0</v>
      </c>
      <c r="L566" s="53">
        <f>G566+H566+I566-J566+K566</f>
        <v>8813</v>
      </c>
      <c r="M566" s="53">
        <v>0</v>
      </c>
      <c r="N566" s="53">
        <f>L566-M566</f>
        <v>8813</v>
      </c>
      <c r="O566" s="53">
        <v>0</v>
      </c>
      <c r="P566" s="53">
        <v>0</v>
      </c>
      <c r="Q566" s="53">
        <f>N566-O566-P566</f>
        <v>8813</v>
      </c>
    </row>
    <row r="567" spans="1:17">
      <c r="A567" s="47" t="s">
        <v>18</v>
      </c>
      <c r="B567" s="48"/>
      <c r="C567" s="48"/>
      <c r="D567" s="43"/>
      <c r="E567" s="173"/>
      <c r="F567" s="43"/>
    </row>
    <row r="568" spans="1:17">
      <c r="A568" s="67" t="s">
        <v>19</v>
      </c>
      <c r="B568" s="48">
        <v>0.88129999999999997</v>
      </c>
      <c r="C568" s="48">
        <f t="shared" ref="C568" si="138">C$588</f>
        <v>0</v>
      </c>
      <c r="D568" s="43"/>
      <c r="E568" s="173"/>
      <c r="F568" s="43">
        <v>2781317.32</v>
      </c>
      <c r="G568" s="53">
        <v>1949.51</v>
      </c>
      <c r="H568" s="53">
        <v>22568.16</v>
      </c>
      <c r="I568" s="53">
        <v>0</v>
      </c>
      <c r="J568" s="53">
        <v>672.21</v>
      </c>
      <c r="K568" s="53">
        <v>0</v>
      </c>
      <c r="L568" s="53">
        <f>G568+H568+I568-J568+K568</f>
        <v>23845.46</v>
      </c>
      <c r="M568" s="53">
        <v>0</v>
      </c>
      <c r="N568" s="53">
        <f>L568-M568</f>
        <v>23845.46</v>
      </c>
      <c r="O568" s="53">
        <v>0</v>
      </c>
      <c r="P568" s="53">
        <v>472.24</v>
      </c>
      <c r="Q568" s="53">
        <f>N568-O568-P568</f>
        <v>23373.219999999998</v>
      </c>
    </row>
    <row r="569" spans="1:17">
      <c r="A569" s="67" t="s">
        <v>20</v>
      </c>
      <c r="B569" s="48">
        <f t="shared" si="137"/>
        <v>0.88129999999999997</v>
      </c>
      <c r="C569" s="48">
        <f t="shared" si="137"/>
        <v>0</v>
      </c>
      <c r="D569" s="43"/>
      <c r="E569" s="173"/>
      <c r="F569" s="43">
        <v>37219.46</v>
      </c>
      <c r="G569" s="53">
        <v>328.01</v>
      </c>
      <c r="H569" s="53">
        <v>0</v>
      </c>
      <c r="I569" s="53">
        <v>0</v>
      </c>
      <c r="J569" s="53">
        <v>0</v>
      </c>
      <c r="K569" s="53">
        <v>0</v>
      </c>
      <c r="L569" s="53">
        <f>G569+H569+I569-J569+K569</f>
        <v>328.01</v>
      </c>
      <c r="M569" s="53">
        <v>0</v>
      </c>
      <c r="N569" s="53">
        <f>L569-M569</f>
        <v>328.01</v>
      </c>
      <c r="O569" s="53">
        <v>0</v>
      </c>
      <c r="P569" s="53">
        <v>6.15</v>
      </c>
      <c r="Q569" s="53">
        <f>N569-O569-P569</f>
        <v>321.86</v>
      </c>
    </row>
    <row r="570" spans="1:17">
      <c r="A570" s="47"/>
      <c r="B570" s="48"/>
      <c r="C570" s="48"/>
      <c r="D570" s="43"/>
      <c r="E570" s="173"/>
      <c r="F570" s="43"/>
    </row>
    <row r="571" spans="1:17" s="50" customFormat="1" ht="13.5" thickBot="1">
      <c r="A571" s="160" t="str">
        <f>"TOTAL "&amp; A562</f>
        <v>TOTAL MT CHARLESTON FIRE</v>
      </c>
      <c r="B571" s="68">
        <f>B564</f>
        <v>0.88129999999999997</v>
      </c>
      <c r="C571" s="68">
        <f>C564</f>
        <v>0</v>
      </c>
      <c r="D571" s="69">
        <f t="shared" ref="D571:Q571" si="139">SUM(D564:D566,D568:D569)</f>
        <v>1146</v>
      </c>
      <c r="E571" s="204"/>
      <c r="F571" s="69">
        <f t="shared" si="139"/>
        <v>117275828.77999999</v>
      </c>
      <c r="G571" s="70">
        <f t="shared" si="139"/>
        <v>4040.12</v>
      </c>
      <c r="H571" s="70">
        <f t="shared" si="139"/>
        <v>1029441.6</v>
      </c>
      <c r="I571" s="70">
        <f t="shared" si="139"/>
        <v>0</v>
      </c>
      <c r="J571" s="70">
        <f t="shared" si="139"/>
        <v>282192.35000000003</v>
      </c>
      <c r="K571" s="70">
        <f t="shared" si="139"/>
        <v>0</v>
      </c>
      <c r="L571" s="70">
        <f t="shared" si="139"/>
        <v>751289.36999999988</v>
      </c>
      <c r="M571" s="70">
        <f t="shared" si="139"/>
        <v>197260.96</v>
      </c>
      <c r="N571" s="70">
        <f t="shared" si="139"/>
        <v>554028.40999999992</v>
      </c>
      <c r="O571" s="70">
        <f t="shared" si="139"/>
        <v>0</v>
      </c>
      <c r="P571" s="70">
        <f t="shared" si="139"/>
        <v>478.39</v>
      </c>
      <c r="Q571" s="70">
        <f t="shared" si="139"/>
        <v>553550.0199999999</v>
      </c>
    </row>
    <row r="572" spans="1:17">
      <c r="A572" s="150" t="s">
        <v>355</v>
      </c>
      <c r="B572" s="48"/>
      <c r="C572" s="48"/>
      <c r="D572" s="43"/>
      <c r="E572" s="173"/>
      <c r="F572" s="64">
        <v>84652916</v>
      </c>
    </row>
    <row r="573" spans="1:17" ht="16.149999999999999" customHeight="1">
      <c r="A573" s="151" t="s">
        <v>30</v>
      </c>
      <c r="B573" s="51"/>
      <c r="C573" s="51"/>
      <c r="D573" s="52"/>
      <c r="E573" s="203"/>
      <c r="F573" s="152">
        <f>(F571-ROUND(J564/B564*100,0))-F572</f>
        <v>679177.77999998629</v>
      </c>
    </row>
    <row r="574" spans="1:17" hidden="1">
      <c r="A574" s="278" t="s">
        <v>304</v>
      </c>
    </row>
    <row r="575" spans="1:17" hidden="1">
      <c r="E575" s="65"/>
    </row>
    <row r="576" spans="1:17" hidden="1">
      <c r="A576" s="49" t="s">
        <v>15</v>
      </c>
      <c r="B576" s="48">
        <v>0</v>
      </c>
      <c r="C576" s="48"/>
      <c r="D576" s="43"/>
      <c r="E576" s="173" t="e">
        <f>G576/B576*100</f>
        <v>#DIV/0!</v>
      </c>
      <c r="F576" s="43"/>
      <c r="L576" s="53">
        <f>G576+H576+I576-J576+K576</f>
        <v>0</v>
      </c>
      <c r="N576" s="53">
        <f>L576-M576</f>
        <v>0</v>
      </c>
      <c r="Q576" s="53">
        <f>N576-O576-P576</f>
        <v>0</v>
      </c>
    </row>
    <row r="577" spans="1:17" hidden="1">
      <c r="A577" s="47" t="s">
        <v>16</v>
      </c>
      <c r="B577" s="48">
        <f>B$576</f>
        <v>0</v>
      </c>
      <c r="C577" s="48">
        <f>C$576</f>
        <v>0</v>
      </c>
      <c r="D577" s="43"/>
      <c r="E577" s="173"/>
      <c r="F577" s="65"/>
      <c r="G577" s="53">
        <f>F577*(B577-C577)/100</f>
        <v>0</v>
      </c>
      <c r="I577" s="53">
        <f>F577*C577/100</f>
        <v>0</v>
      </c>
      <c r="L577" s="53">
        <f>G577+H577+I577-J577+K577</f>
        <v>0</v>
      </c>
      <c r="N577" s="53">
        <f>L577-M577</f>
        <v>0</v>
      </c>
      <c r="Q577" s="53">
        <f>N577-O577-P577</f>
        <v>0</v>
      </c>
    </row>
    <row r="578" spans="1:17" hidden="1">
      <c r="A578" s="47" t="s">
        <v>17</v>
      </c>
      <c r="B578" s="48">
        <f t="shared" ref="B578:C581" si="140">B$576</f>
        <v>0</v>
      </c>
      <c r="C578" s="48">
        <f t="shared" si="140"/>
        <v>0</v>
      </c>
      <c r="D578" s="43"/>
      <c r="E578" s="173"/>
      <c r="F578" s="66"/>
      <c r="H578" s="53">
        <f>F578*(B578-C578)/100</f>
        <v>0</v>
      </c>
      <c r="I578" s="53">
        <f>F578*C578/100</f>
        <v>0</v>
      </c>
      <c r="L578" s="53">
        <f>G578+H578+I578-J578+K578</f>
        <v>0</v>
      </c>
      <c r="N578" s="53">
        <f>L578-M578</f>
        <v>0</v>
      </c>
      <c r="Q578" s="53">
        <f>N578-O578-P578</f>
        <v>0</v>
      </c>
    </row>
    <row r="579" spans="1:17" hidden="1">
      <c r="A579" s="47" t="s">
        <v>18</v>
      </c>
      <c r="B579" s="48"/>
      <c r="C579" s="48"/>
      <c r="D579" s="43"/>
      <c r="E579" s="173"/>
      <c r="F579" s="43"/>
    </row>
    <row r="580" spans="1:17" hidden="1">
      <c r="A580" s="67" t="s">
        <v>19</v>
      </c>
      <c r="B580" s="48">
        <f t="shared" si="140"/>
        <v>0</v>
      </c>
      <c r="C580" s="48">
        <f t="shared" si="140"/>
        <v>0</v>
      </c>
      <c r="D580" s="43"/>
      <c r="E580" s="173"/>
      <c r="F580" s="43"/>
      <c r="L580" s="53">
        <f>G580+H580+I580-J580+K580</f>
        <v>0</v>
      </c>
      <c r="N580" s="53">
        <f>L580-M580</f>
        <v>0</v>
      </c>
      <c r="Q580" s="53">
        <f>N580-O580-P580</f>
        <v>0</v>
      </c>
    </row>
    <row r="581" spans="1:17" hidden="1">
      <c r="A581" s="67" t="s">
        <v>20</v>
      </c>
      <c r="B581" s="48">
        <f t="shared" si="140"/>
        <v>0</v>
      </c>
      <c r="C581" s="48">
        <f t="shared" si="140"/>
        <v>0</v>
      </c>
      <c r="D581" s="43"/>
      <c r="E581" s="173"/>
      <c r="F581" s="43"/>
      <c r="L581" s="53">
        <f>G581+H581+I581-J581+K581</f>
        <v>0</v>
      </c>
      <c r="N581" s="53">
        <f>L581-M581</f>
        <v>0</v>
      </c>
      <c r="Q581" s="53">
        <f>N581-O581-P581</f>
        <v>0</v>
      </c>
    </row>
    <row r="582" spans="1:17" hidden="1">
      <c r="A582" s="47"/>
      <c r="B582" s="48"/>
      <c r="C582" s="48"/>
      <c r="D582" s="43"/>
      <c r="E582" s="173"/>
      <c r="F582" s="43"/>
    </row>
    <row r="583" spans="1:17" s="50" customFormat="1" ht="13.5" hidden="1" thickBot="1">
      <c r="A583" s="160" t="str">
        <f>"TOTAL "&amp; A574</f>
        <v>TOTAL MUDDY RIVER SPRINGS WATER BASIN</v>
      </c>
      <c r="B583" s="68">
        <f>B576</f>
        <v>0</v>
      </c>
      <c r="C583" s="68">
        <f>C576</f>
        <v>0</v>
      </c>
      <c r="D583" s="69">
        <f t="shared" ref="D583:Q583" si="141">SUM(D576:D578,D580:D581)</f>
        <v>0</v>
      </c>
      <c r="E583" s="204"/>
      <c r="F583" s="69">
        <f t="shared" si="141"/>
        <v>0</v>
      </c>
      <c r="G583" s="70">
        <f t="shared" si="141"/>
        <v>0</v>
      </c>
      <c r="H583" s="70">
        <f t="shared" si="141"/>
        <v>0</v>
      </c>
      <c r="I583" s="70">
        <f t="shared" si="141"/>
        <v>0</v>
      </c>
      <c r="J583" s="70">
        <f t="shared" si="141"/>
        <v>0</v>
      </c>
      <c r="K583" s="70">
        <f t="shared" si="141"/>
        <v>0</v>
      </c>
      <c r="L583" s="70">
        <f t="shared" si="141"/>
        <v>0</v>
      </c>
      <c r="M583" s="70">
        <f t="shared" si="141"/>
        <v>0</v>
      </c>
      <c r="N583" s="70">
        <f t="shared" si="141"/>
        <v>0</v>
      </c>
      <c r="O583" s="70">
        <f t="shared" si="141"/>
        <v>0</v>
      </c>
      <c r="P583" s="70">
        <f t="shared" si="141"/>
        <v>0</v>
      </c>
      <c r="Q583" s="70">
        <f t="shared" si="141"/>
        <v>0</v>
      </c>
    </row>
    <row r="584" spans="1:17" hidden="1">
      <c r="A584" s="150" t="s">
        <v>355</v>
      </c>
      <c r="B584" s="48"/>
      <c r="C584" s="48"/>
      <c r="D584" s="43"/>
      <c r="E584" s="173"/>
      <c r="F584" s="64"/>
    </row>
    <row r="585" spans="1:17" hidden="1">
      <c r="A585" s="151" t="s">
        <v>30</v>
      </c>
      <c r="B585" s="51"/>
      <c r="C585" s="51"/>
      <c r="D585" s="52"/>
      <c r="E585" s="203"/>
      <c r="F585" s="152" t="e">
        <f>(F583-ROUND(J583/B583,0))-F584</f>
        <v>#DIV/0!</v>
      </c>
    </row>
    <row r="586" spans="1:17">
      <c r="A586" s="54" t="s">
        <v>305</v>
      </c>
    </row>
    <row r="587" spans="1:17">
      <c r="E587" s="65">
        <v>327000000</v>
      </c>
    </row>
    <row r="588" spans="1:17">
      <c r="A588" s="49" t="s">
        <v>15</v>
      </c>
      <c r="B588" s="48">
        <v>6.3200000000000006E-2</v>
      </c>
      <c r="C588" s="48">
        <v>0</v>
      </c>
      <c r="D588" s="43">
        <v>97110</v>
      </c>
      <c r="E588" s="173">
        <f>G588/B588*100</f>
        <v>47065617.088607594</v>
      </c>
      <c r="F588" s="43">
        <v>16508410948</v>
      </c>
      <c r="G588" s="53">
        <v>29745.47</v>
      </c>
      <c r="H588" s="401">
        <v>10254516.359999999</v>
      </c>
      <c r="I588" s="53">
        <v>0</v>
      </c>
      <c r="J588" s="53">
        <v>1071015.8</v>
      </c>
      <c r="K588" s="53">
        <v>0</v>
      </c>
      <c r="L588" s="53">
        <f>G588+H588+I588-J588+K588</f>
        <v>9213246.0299999993</v>
      </c>
      <c r="M588" s="53">
        <v>2537262.54</v>
      </c>
      <c r="N588" s="53">
        <f>L588-M588</f>
        <v>6675983.4899999993</v>
      </c>
      <c r="O588" s="53">
        <v>0</v>
      </c>
      <c r="P588" s="53">
        <v>0</v>
      </c>
      <c r="Q588" s="53">
        <f>N588-O588-P588</f>
        <v>6675983.4899999993</v>
      </c>
    </row>
    <row r="589" spans="1:17">
      <c r="A589" s="47" t="s">
        <v>16</v>
      </c>
      <c r="B589" s="48">
        <f>B$588</f>
        <v>6.3200000000000006E-2</v>
      </c>
      <c r="C589" s="48">
        <f>C$588</f>
        <v>0</v>
      </c>
      <c r="D589" s="43"/>
      <c r="E589" s="173"/>
      <c r="F589" s="65">
        <f>IF(E587&gt;E588,E587-E588,0)</f>
        <v>279934382.91139239</v>
      </c>
      <c r="G589" s="53">
        <f>F589*(B589-C589)/100</f>
        <v>176918.53</v>
      </c>
      <c r="I589" s="53">
        <f>F589*C589/100</f>
        <v>0</v>
      </c>
      <c r="L589" s="53">
        <f>G589+H589+I589-J589+K589</f>
        <v>176918.53</v>
      </c>
      <c r="N589" s="53">
        <f>L589-M589</f>
        <v>176918.53</v>
      </c>
      <c r="Q589" s="53">
        <f>N589-O589-P589</f>
        <v>176918.53</v>
      </c>
    </row>
    <row r="590" spans="1:17">
      <c r="A590" s="47" t="s">
        <v>17</v>
      </c>
      <c r="B590" s="48">
        <f t="shared" ref="B590:C593" si="142">B$588</f>
        <v>6.3200000000000006E-2</v>
      </c>
      <c r="C590" s="48">
        <f t="shared" si="142"/>
        <v>0</v>
      </c>
      <c r="D590" s="43"/>
      <c r="E590" s="173"/>
      <c r="F590" s="66">
        <v>800000000</v>
      </c>
      <c r="H590" s="53">
        <f>F590*(B590-C590)/100</f>
        <v>505600.00000000006</v>
      </c>
      <c r="I590" s="53">
        <f>F590*C590/100</f>
        <v>0</v>
      </c>
      <c r="J590" s="53">
        <v>0</v>
      </c>
      <c r="K590" s="53">
        <v>0</v>
      </c>
      <c r="L590" s="53">
        <f>G590+H590+I590-J590+K590</f>
        <v>505600.00000000006</v>
      </c>
      <c r="M590" s="53">
        <v>0</v>
      </c>
      <c r="N590" s="53">
        <f>L590-M590</f>
        <v>505600.00000000006</v>
      </c>
      <c r="O590" s="53">
        <v>0</v>
      </c>
      <c r="P590" s="53">
        <v>0</v>
      </c>
      <c r="Q590" s="53">
        <f>N590-O590-P590</f>
        <v>505600.00000000006</v>
      </c>
    </row>
    <row r="591" spans="1:17">
      <c r="A591" s="47" t="s">
        <v>18</v>
      </c>
      <c r="B591" s="48"/>
      <c r="C591" s="48"/>
      <c r="D591" s="43"/>
      <c r="E591" s="173"/>
      <c r="F591" s="43"/>
    </row>
    <row r="592" spans="1:17">
      <c r="A592" s="67" t="s">
        <v>19</v>
      </c>
      <c r="B592" s="48">
        <f t="shared" si="142"/>
        <v>6.3200000000000006E-2</v>
      </c>
      <c r="C592" s="48">
        <f t="shared" si="142"/>
        <v>0</v>
      </c>
      <c r="D592" s="43"/>
      <c r="E592" s="173"/>
      <c r="F592" s="43">
        <v>271781968.86000001</v>
      </c>
      <c r="G592" s="53">
        <v>20567.21</v>
      </c>
      <c r="H592" s="53">
        <v>151202.23000000001</v>
      </c>
      <c r="I592" s="53">
        <v>0</v>
      </c>
      <c r="J592" s="53">
        <v>5231.71</v>
      </c>
      <c r="K592" s="53">
        <v>0</v>
      </c>
      <c r="L592" s="53">
        <f>G592+H592+I592-J592+K592</f>
        <v>166537.73000000001</v>
      </c>
      <c r="M592" s="53">
        <v>799.43</v>
      </c>
      <c r="N592" s="53">
        <f>L592-M592</f>
        <v>165738.30000000002</v>
      </c>
      <c r="O592" s="53">
        <v>3601.29</v>
      </c>
      <c r="P592" s="53">
        <v>2695.76</v>
      </c>
      <c r="Q592" s="53">
        <f>N592-O592-P592</f>
        <v>159441.25</v>
      </c>
    </row>
    <row r="593" spans="1:17">
      <c r="A593" s="67" t="s">
        <v>20</v>
      </c>
      <c r="B593" s="48">
        <f t="shared" si="142"/>
        <v>6.3200000000000006E-2</v>
      </c>
      <c r="C593" s="48">
        <f t="shared" si="142"/>
        <v>0</v>
      </c>
      <c r="D593" s="43"/>
      <c r="E593" s="173"/>
      <c r="F593" s="43">
        <v>5076905.88</v>
      </c>
      <c r="G593" s="53">
        <v>3154.57</v>
      </c>
      <c r="H593" s="53">
        <v>53.8</v>
      </c>
      <c r="I593" s="53">
        <v>0</v>
      </c>
      <c r="J593" s="53">
        <v>0</v>
      </c>
      <c r="K593" s="53">
        <v>0</v>
      </c>
      <c r="L593" s="53">
        <f>G593+H593+I593-J593+K593</f>
        <v>3208.3700000000003</v>
      </c>
      <c r="M593" s="53">
        <v>0</v>
      </c>
      <c r="N593" s="53">
        <f>L593-M593</f>
        <v>3208.3700000000003</v>
      </c>
      <c r="O593" s="53">
        <v>75.180000000000007</v>
      </c>
      <c r="P593" s="53">
        <v>35.1</v>
      </c>
      <c r="Q593" s="53">
        <f>N593-O593-P593</f>
        <v>3098.0900000000006</v>
      </c>
    </row>
    <row r="594" spans="1:17">
      <c r="A594" s="47"/>
      <c r="B594" s="48"/>
      <c r="C594" s="48"/>
      <c r="D594" s="43"/>
      <c r="E594" s="173"/>
      <c r="F594" s="43"/>
    </row>
    <row r="595" spans="1:17" s="50" customFormat="1" ht="13.5" thickBot="1">
      <c r="A595" s="160" t="str">
        <f>"TOTAL "&amp; A586</f>
        <v>TOTAL NORTH LAS VEGAS CITY LIBRARY</v>
      </c>
      <c r="B595" s="68">
        <f>B588</f>
        <v>6.3200000000000006E-2</v>
      </c>
      <c r="C595" s="68">
        <f>C588</f>
        <v>0</v>
      </c>
      <c r="D595" s="69">
        <f t="shared" ref="D595:Q595" si="143">SUM(D588:D590,D592:D593)</f>
        <v>97110</v>
      </c>
      <c r="E595" s="204"/>
      <c r="F595" s="69">
        <f t="shared" si="143"/>
        <v>17865204205.651394</v>
      </c>
      <c r="G595" s="70">
        <f t="shared" si="143"/>
        <v>230385.78</v>
      </c>
      <c r="H595" s="70">
        <f t="shared" si="143"/>
        <v>10911372.390000001</v>
      </c>
      <c r="I595" s="70">
        <f t="shared" si="143"/>
        <v>0</v>
      </c>
      <c r="J595" s="70">
        <f t="shared" si="143"/>
        <v>1076247.51</v>
      </c>
      <c r="K595" s="70">
        <f t="shared" si="143"/>
        <v>0</v>
      </c>
      <c r="L595" s="70">
        <f t="shared" si="143"/>
        <v>10065510.659999998</v>
      </c>
      <c r="M595" s="70">
        <f t="shared" si="143"/>
        <v>2538061.9700000002</v>
      </c>
      <c r="N595" s="70">
        <f t="shared" si="143"/>
        <v>7527448.6899999995</v>
      </c>
      <c r="O595" s="70">
        <f t="shared" si="143"/>
        <v>3676.47</v>
      </c>
      <c r="P595" s="70">
        <f t="shared" si="143"/>
        <v>2730.86</v>
      </c>
      <c r="Q595" s="70">
        <f t="shared" si="143"/>
        <v>7521041.3599999994</v>
      </c>
    </row>
    <row r="596" spans="1:17">
      <c r="A596" s="150" t="s">
        <v>355</v>
      </c>
      <c r="B596" s="48"/>
      <c r="C596" s="48"/>
      <c r="D596" s="43"/>
      <c r="E596" s="173"/>
      <c r="F596" s="64">
        <v>15800072224</v>
      </c>
    </row>
    <row r="597" spans="1:17">
      <c r="A597" s="151" t="s">
        <v>30</v>
      </c>
      <c r="B597" s="51"/>
      <c r="C597" s="51"/>
      <c r="D597" s="52"/>
      <c r="E597" s="203"/>
      <c r="F597" s="152">
        <f>(F595-ROUND(J588/B588*100,0))-F596</f>
        <v>370486728.65139389</v>
      </c>
    </row>
    <row r="598" spans="1:17">
      <c r="A598" s="54" t="s">
        <v>306</v>
      </c>
    </row>
    <row r="599" spans="1:17">
      <c r="A599" s="50"/>
      <c r="B599" s="50"/>
      <c r="C599" s="50"/>
      <c r="D599" s="50"/>
      <c r="E599" s="65">
        <v>327000000</v>
      </c>
      <c r="F599" s="50"/>
      <c r="G599" s="59"/>
    </row>
    <row r="600" spans="1:17">
      <c r="A600" s="49" t="s">
        <v>15</v>
      </c>
      <c r="B600" s="48">
        <v>5.0000000000000001E-3</v>
      </c>
      <c r="C600" s="48">
        <v>0</v>
      </c>
      <c r="D600" s="43">
        <v>97110</v>
      </c>
      <c r="E600" s="173">
        <f>G600/B600*100</f>
        <v>47065600.000000007</v>
      </c>
      <c r="F600" s="43">
        <v>16508410948</v>
      </c>
      <c r="G600" s="53">
        <v>2353.2800000000002</v>
      </c>
      <c r="H600" s="401">
        <v>811275</v>
      </c>
      <c r="I600" s="53">
        <v>0</v>
      </c>
      <c r="J600" s="53">
        <v>84732.900000000009</v>
      </c>
      <c r="K600" s="53">
        <v>0</v>
      </c>
      <c r="L600" s="53">
        <f>G600+H600+I600-J600+K600</f>
        <v>728895.38</v>
      </c>
      <c r="M600" s="53">
        <v>200733.69</v>
      </c>
      <c r="N600" s="53">
        <f>L600-M600</f>
        <v>528161.68999999994</v>
      </c>
      <c r="O600" s="53">
        <v>0</v>
      </c>
      <c r="P600" s="53">
        <v>0</v>
      </c>
      <c r="Q600" s="53">
        <f>N600-O600-P600</f>
        <v>528161.68999999994</v>
      </c>
    </row>
    <row r="601" spans="1:17">
      <c r="A601" s="47" t="s">
        <v>16</v>
      </c>
      <c r="B601" s="48">
        <f>B$600</f>
        <v>5.0000000000000001E-3</v>
      </c>
      <c r="C601" s="48">
        <f>C$600</f>
        <v>0</v>
      </c>
      <c r="D601" s="43"/>
      <c r="E601" s="173"/>
      <c r="F601" s="65">
        <f>IF(E599&gt;E600,E599-E600,0)</f>
        <v>279934400</v>
      </c>
      <c r="G601" s="53">
        <f>F601*(B601-C601)/100</f>
        <v>13996.72</v>
      </c>
      <c r="I601" s="53">
        <v>0</v>
      </c>
      <c r="L601" s="53">
        <f>G601+H601+I601-J601+K601</f>
        <v>13996.72</v>
      </c>
      <c r="N601" s="53">
        <f>L601-M601</f>
        <v>13996.72</v>
      </c>
      <c r="Q601" s="53">
        <f>N601-O601-P601</f>
        <v>13996.72</v>
      </c>
    </row>
    <row r="602" spans="1:17">
      <c r="A602" s="47" t="s">
        <v>17</v>
      </c>
      <c r="B602" s="48">
        <f t="shared" ref="B602:C605" si="144">B$600</f>
        <v>5.0000000000000001E-3</v>
      </c>
      <c r="C602" s="48">
        <f t="shared" si="144"/>
        <v>0</v>
      </c>
      <c r="D602" s="43"/>
      <c r="E602" s="173"/>
      <c r="F602" s="66">
        <v>800000000</v>
      </c>
      <c r="H602" s="53">
        <f>F602*(B602-C602)/100</f>
        <v>40000</v>
      </c>
      <c r="I602" s="53">
        <f>F602*C602/100</f>
        <v>0</v>
      </c>
      <c r="J602" s="53">
        <v>0</v>
      </c>
      <c r="K602" s="53">
        <v>0</v>
      </c>
      <c r="L602" s="53">
        <f>G602+H602+I602-J602+K602</f>
        <v>40000</v>
      </c>
      <c r="M602" s="53">
        <v>0</v>
      </c>
      <c r="N602" s="53">
        <f>L602-M602</f>
        <v>40000</v>
      </c>
      <c r="O602" s="53">
        <v>0</v>
      </c>
      <c r="P602" s="53">
        <v>0</v>
      </c>
      <c r="Q602" s="53">
        <f>N602-O602-P602</f>
        <v>40000</v>
      </c>
    </row>
    <row r="603" spans="1:17">
      <c r="A603" s="47" t="s">
        <v>18</v>
      </c>
      <c r="B603" s="48"/>
      <c r="C603" s="48"/>
      <c r="D603" s="43"/>
      <c r="E603" s="173"/>
      <c r="F603" s="43"/>
    </row>
    <row r="604" spans="1:17">
      <c r="A604" s="67" t="s">
        <v>19</v>
      </c>
      <c r="B604" s="48">
        <f t="shared" si="144"/>
        <v>5.0000000000000001E-3</v>
      </c>
      <c r="C604" s="48">
        <f t="shared" si="144"/>
        <v>0</v>
      </c>
      <c r="D604" s="43"/>
      <c r="E604" s="173"/>
      <c r="F604" s="43">
        <v>271786786.69999999</v>
      </c>
      <c r="G604" s="53">
        <v>1627.15</v>
      </c>
      <c r="H604" s="53">
        <v>11962.23</v>
      </c>
      <c r="I604" s="53">
        <v>0</v>
      </c>
      <c r="J604" s="53">
        <v>413.87</v>
      </c>
      <c r="K604" s="53">
        <v>0</v>
      </c>
      <c r="L604" s="53">
        <f>G604+H604+I604-J604+K604</f>
        <v>13175.509999999998</v>
      </c>
      <c r="M604" s="53">
        <v>63.25</v>
      </c>
      <c r="N604" s="53">
        <f>L604-M604</f>
        <v>13112.259999999998</v>
      </c>
      <c r="O604" s="53">
        <v>284.89999999999998</v>
      </c>
      <c r="P604" s="53">
        <v>213.27</v>
      </c>
      <c r="Q604" s="53">
        <f>N604-O604-P604</f>
        <v>12614.089999999998</v>
      </c>
    </row>
    <row r="605" spans="1:17">
      <c r="A605" s="67" t="s">
        <v>20</v>
      </c>
      <c r="B605" s="48">
        <f t="shared" si="144"/>
        <v>5.0000000000000001E-3</v>
      </c>
      <c r="C605" s="48">
        <f t="shared" si="144"/>
        <v>0</v>
      </c>
      <c r="D605" s="43"/>
      <c r="E605" s="173"/>
      <c r="F605" s="43">
        <v>5076905.88</v>
      </c>
      <c r="G605" s="53">
        <v>249.54</v>
      </c>
      <c r="H605" s="53">
        <v>4.18</v>
      </c>
      <c r="I605" s="53">
        <v>0</v>
      </c>
      <c r="J605" s="53">
        <v>0</v>
      </c>
      <c r="K605" s="53">
        <v>0</v>
      </c>
      <c r="L605" s="53">
        <f>G605+H605+I605-J605+K605</f>
        <v>253.72</v>
      </c>
      <c r="M605" s="53">
        <v>0.02</v>
      </c>
      <c r="N605" s="53">
        <f>L605-M605</f>
        <v>253.7</v>
      </c>
      <c r="O605" s="53">
        <v>5.97</v>
      </c>
      <c r="P605" s="53">
        <v>2.78</v>
      </c>
      <c r="Q605" s="53">
        <f>N605-O605-P605</f>
        <v>244.95</v>
      </c>
    </row>
    <row r="606" spans="1:17">
      <c r="A606" s="47"/>
      <c r="B606" s="48"/>
      <c r="C606" s="48"/>
      <c r="D606" s="43"/>
      <c r="E606" s="173"/>
      <c r="F606" s="43"/>
    </row>
    <row r="607" spans="1:17" s="50" customFormat="1" ht="13.5" thickBot="1">
      <c r="A607" s="160" t="str">
        <f>"TOTAL "&amp; A598</f>
        <v>TOTAL NORTH LAS VEGAS 911</v>
      </c>
      <c r="B607" s="68">
        <f>B600</f>
        <v>5.0000000000000001E-3</v>
      </c>
      <c r="C607" s="68">
        <f>C600</f>
        <v>0</v>
      </c>
      <c r="D607" s="69">
        <f t="shared" ref="D607:Q607" si="145">SUM(D600:D602,D604:D605)</f>
        <v>97110</v>
      </c>
      <c r="E607" s="204"/>
      <c r="F607" s="69">
        <f t="shared" si="145"/>
        <v>17865209040.580002</v>
      </c>
      <c r="G607" s="70">
        <f t="shared" si="145"/>
        <v>18226.690000000002</v>
      </c>
      <c r="H607" s="70">
        <f t="shared" si="145"/>
        <v>863241.41</v>
      </c>
      <c r="I607" s="70">
        <f t="shared" si="145"/>
        <v>0</v>
      </c>
      <c r="J607" s="70">
        <f t="shared" si="145"/>
        <v>85146.77</v>
      </c>
      <c r="K607" s="70">
        <f t="shared" si="145"/>
        <v>0</v>
      </c>
      <c r="L607" s="70">
        <f t="shared" si="145"/>
        <v>796321.33</v>
      </c>
      <c r="M607" s="70">
        <f t="shared" si="145"/>
        <v>200796.96</v>
      </c>
      <c r="N607" s="70">
        <f t="shared" si="145"/>
        <v>595524.36999999988</v>
      </c>
      <c r="O607" s="70">
        <f t="shared" si="145"/>
        <v>290.87</v>
      </c>
      <c r="P607" s="70">
        <f t="shared" si="145"/>
        <v>216.05</v>
      </c>
      <c r="Q607" s="70">
        <f t="shared" si="145"/>
        <v>595017.44999999984</v>
      </c>
    </row>
    <row r="608" spans="1:17">
      <c r="A608" s="150" t="s">
        <v>355</v>
      </c>
      <c r="B608" s="48"/>
      <c r="C608" s="48"/>
      <c r="D608" s="43"/>
      <c r="E608" s="173"/>
      <c r="F608" s="64">
        <v>15800072224</v>
      </c>
    </row>
    <row r="609" spans="1:17">
      <c r="A609" s="151" t="s">
        <v>30</v>
      </c>
      <c r="B609" s="51"/>
      <c r="C609" s="51"/>
      <c r="D609" s="52"/>
      <c r="E609" s="203"/>
      <c r="F609" s="152">
        <f>(F607-ROUND(J600/B600*100,0))-F608</f>
        <v>370478816.58000183</v>
      </c>
    </row>
    <row r="610" spans="1:17">
      <c r="A610" s="54" t="s">
        <v>307</v>
      </c>
    </row>
    <row r="611" spans="1:17">
      <c r="A611" s="83"/>
      <c r="B611" s="84"/>
      <c r="C611" s="84"/>
      <c r="D611" s="84"/>
      <c r="E611" s="65">
        <v>7000000</v>
      </c>
      <c r="F611" s="84"/>
      <c r="G611" s="59"/>
    </row>
    <row r="612" spans="1:17">
      <c r="A612" s="49" t="s">
        <v>15</v>
      </c>
      <c r="B612" s="48">
        <v>0</v>
      </c>
      <c r="C612" s="48">
        <v>0</v>
      </c>
      <c r="D612" s="43">
        <v>1949</v>
      </c>
      <c r="E612" s="173"/>
      <c r="F612" s="43">
        <v>324679849</v>
      </c>
      <c r="G612" s="53">
        <v>9304.6299999999992</v>
      </c>
      <c r="H612" s="53">
        <v>6488555.21</v>
      </c>
      <c r="I612" s="53">
        <v>0</v>
      </c>
      <c r="J612" s="53">
        <v>1909761.4599999997</v>
      </c>
      <c r="K612" s="53">
        <v>0</v>
      </c>
      <c r="L612" s="53">
        <f>G612+H612+I612-J612+K612</f>
        <v>4588098.38</v>
      </c>
      <c r="M612" s="53">
        <v>760375.75</v>
      </c>
      <c r="N612" s="53">
        <f>L612-M612</f>
        <v>3827722.63</v>
      </c>
      <c r="O612" s="53">
        <v>0</v>
      </c>
      <c r="P612" s="53">
        <v>0</v>
      </c>
      <c r="Q612" s="53">
        <f>N612-O612-P612</f>
        <v>3827722.63</v>
      </c>
    </row>
    <row r="613" spans="1:17">
      <c r="A613" s="47" t="s">
        <v>16</v>
      </c>
      <c r="B613" s="48">
        <f>B$612</f>
        <v>0</v>
      </c>
      <c r="C613" s="48">
        <f>C$612</f>
        <v>0</v>
      </c>
      <c r="D613" s="43"/>
      <c r="E613" s="173"/>
      <c r="F613" s="65">
        <f>IF(E611&gt;E612,E611-E612,0)</f>
        <v>7000000</v>
      </c>
      <c r="I613" s="53">
        <f>F613*C613/100</f>
        <v>0</v>
      </c>
      <c r="L613" s="53">
        <f>G613+H613+I613-J613+K613</f>
        <v>0</v>
      </c>
      <c r="N613" s="53">
        <f>L613-M613</f>
        <v>0</v>
      </c>
      <c r="Q613" s="53">
        <f>N613-O613-P613</f>
        <v>0</v>
      </c>
    </row>
    <row r="614" spans="1:17">
      <c r="A614" s="47" t="s">
        <v>17</v>
      </c>
      <c r="B614" s="48">
        <f t="shared" ref="B614:C617" si="146">B$612</f>
        <v>0</v>
      </c>
      <c r="C614" s="48">
        <f t="shared" si="146"/>
        <v>0</v>
      </c>
      <c r="D614" s="43"/>
      <c r="E614" s="173"/>
      <c r="F614" s="66">
        <v>20000000</v>
      </c>
      <c r="G614" s="53">
        <v>0</v>
      </c>
      <c r="H614" s="53">
        <v>0</v>
      </c>
      <c r="I614" s="53">
        <f>F614*C614/100</f>
        <v>0</v>
      </c>
      <c r="J614" s="53">
        <v>0</v>
      </c>
      <c r="K614" s="53">
        <v>0</v>
      </c>
      <c r="L614" s="53">
        <f>G614+H614+I614-J614+K614</f>
        <v>0</v>
      </c>
      <c r="M614" s="53">
        <v>0</v>
      </c>
      <c r="N614" s="53">
        <f>L614-M614</f>
        <v>0</v>
      </c>
      <c r="O614" s="53">
        <v>0</v>
      </c>
      <c r="P614" s="53">
        <v>0</v>
      </c>
      <c r="Q614" s="53">
        <f>N614-O614-P614</f>
        <v>0</v>
      </c>
    </row>
    <row r="615" spans="1:17">
      <c r="A615" s="47" t="s">
        <v>18</v>
      </c>
      <c r="B615" s="48"/>
      <c r="C615" s="48"/>
      <c r="D615" s="43"/>
      <c r="E615" s="173"/>
      <c r="F615" s="43"/>
    </row>
    <row r="616" spans="1:17">
      <c r="A616" s="67" t="s">
        <v>19</v>
      </c>
      <c r="B616" s="48">
        <f t="shared" si="146"/>
        <v>0</v>
      </c>
      <c r="C616" s="48">
        <f t="shared" si="146"/>
        <v>0</v>
      </c>
      <c r="D616" s="43"/>
      <c r="E616" s="173"/>
      <c r="F616" s="43">
        <v>8043024.8200000003</v>
      </c>
      <c r="G616" s="53">
        <v>0</v>
      </c>
      <c r="H616" s="53">
        <v>0</v>
      </c>
      <c r="I616" s="53">
        <v>0</v>
      </c>
      <c r="J616" s="53">
        <v>0</v>
      </c>
      <c r="K616" s="53">
        <v>0</v>
      </c>
      <c r="L616" s="53">
        <f>G616+H616+I616-J616+K616</f>
        <v>0</v>
      </c>
      <c r="M616" s="53">
        <v>0</v>
      </c>
      <c r="N616" s="53">
        <f>L616-M616</f>
        <v>0</v>
      </c>
      <c r="O616" s="53">
        <v>0</v>
      </c>
      <c r="P616" s="53">
        <v>0</v>
      </c>
      <c r="Q616" s="53">
        <f>N616-O616-P616</f>
        <v>0</v>
      </c>
    </row>
    <row r="617" spans="1:17">
      <c r="A617" s="67" t="s">
        <v>20</v>
      </c>
      <c r="B617" s="48">
        <f t="shared" si="146"/>
        <v>0</v>
      </c>
      <c r="C617" s="48">
        <f t="shared" si="146"/>
        <v>0</v>
      </c>
      <c r="D617" s="43"/>
      <c r="E617" s="173"/>
      <c r="F617" s="43">
        <v>179768.5</v>
      </c>
      <c r="G617" s="53">
        <v>0</v>
      </c>
      <c r="H617" s="53">
        <v>0</v>
      </c>
      <c r="I617" s="53">
        <v>0</v>
      </c>
      <c r="J617" s="53">
        <v>0</v>
      </c>
      <c r="K617" s="53">
        <v>0</v>
      </c>
      <c r="L617" s="53">
        <f>G617+H617+I617-J617+K617</f>
        <v>0</v>
      </c>
      <c r="M617" s="53">
        <v>0</v>
      </c>
      <c r="N617" s="53">
        <f>L617-M617</f>
        <v>0</v>
      </c>
      <c r="O617" s="53">
        <v>0</v>
      </c>
      <c r="P617" s="53">
        <v>0</v>
      </c>
      <c r="Q617" s="53">
        <f>N617-O617-P617</f>
        <v>0</v>
      </c>
    </row>
    <row r="618" spans="1:17">
      <c r="A618" s="47"/>
      <c r="B618" s="48"/>
      <c r="C618" s="48"/>
      <c r="D618" s="43"/>
      <c r="E618" s="173"/>
      <c r="F618" s="43"/>
    </row>
    <row r="619" spans="1:17" s="50" customFormat="1" ht="13.5" thickBot="1">
      <c r="A619" s="160" t="str">
        <f>"TOTAL "&amp; A610</f>
        <v>TOTAL NORTH LAS VEGAS REDEVELOPMENT AGENCY</v>
      </c>
      <c r="B619" s="68">
        <f>B612</f>
        <v>0</v>
      </c>
      <c r="C619" s="68">
        <f>C612</f>
        <v>0</v>
      </c>
      <c r="D619" s="69">
        <f t="shared" ref="D619:Q619" si="147">SUM(D612:D614,D616:D617)</f>
        <v>1949</v>
      </c>
      <c r="E619" s="204"/>
      <c r="F619" s="69">
        <f t="shared" si="147"/>
        <v>359902642.31999999</v>
      </c>
      <c r="G619" s="70">
        <f t="shared" si="147"/>
        <v>9304.6299999999992</v>
      </c>
      <c r="H619" s="70">
        <f t="shared" si="147"/>
        <v>6488555.21</v>
      </c>
      <c r="I619" s="70">
        <f t="shared" si="147"/>
        <v>0</v>
      </c>
      <c r="J619" s="70">
        <f t="shared" si="147"/>
        <v>1909761.4599999997</v>
      </c>
      <c r="K619" s="70">
        <f t="shared" si="147"/>
        <v>0</v>
      </c>
      <c r="L619" s="70">
        <f t="shared" si="147"/>
        <v>4588098.38</v>
      </c>
      <c r="M619" s="70">
        <f t="shared" si="147"/>
        <v>760375.75</v>
      </c>
      <c r="N619" s="70">
        <f t="shared" si="147"/>
        <v>3827722.63</v>
      </c>
      <c r="O619" s="70">
        <f t="shared" si="147"/>
        <v>0</v>
      </c>
      <c r="P619" s="70">
        <f t="shared" si="147"/>
        <v>0</v>
      </c>
      <c r="Q619" s="70">
        <f t="shared" si="147"/>
        <v>3827722.63</v>
      </c>
    </row>
    <row r="620" spans="1:17">
      <c r="A620" s="150" t="s">
        <v>355</v>
      </c>
      <c r="B620" s="48"/>
      <c r="C620" s="48"/>
      <c r="D620" s="43"/>
      <c r="E620" s="173"/>
      <c r="F620" s="64">
        <v>192222809</v>
      </c>
    </row>
    <row r="621" spans="1:17">
      <c r="A621" s="151" t="s">
        <v>30</v>
      </c>
      <c r="B621" s="51"/>
      <c r="C621" s="51"/>
      <c r="D621" s="52"/>
      <c r="E621" s="203"/>
      <c r="F621" s="152"/>
    </row>
    <row r="623" spans="1:17">
      <c r="A623" s="293" t="s">
        <v>356</v>
      </c>
      <c r="B623" s="294" t="s">
        <v>566</v>
      </c>
      <c r="C623" s="295"/>
      <c r="D623" s="295"/>
      <c r="E623" s="295"/>
      <c r="F623" s="295"/>
      <c r="G623" s="287"/>
      <c r="H623" s="287"/>
      <c r="I623" s="287"/>
      <c r="J623" s="287"/>
      <c r="K623" s="287"/>
      <c r="L623" s="287"/>
      <c r="M623" s="287"/>
      <c r="N623" s="320"/>
      <c r="O623" s="320"/>
      <c r="P623" s="320"/>
      <c r="Q623" s="320"/>
    </row>
    <row r="624" spans="1:17">
      <c r="A624" s="83"/>
      <c r="B624" s="85"/>
      <c r="C624" s="85"/>
      <c r="D624" s="85"/>
      <c r="F624" s="85"/>
      <c r="G624" s="86"/>
    </row>
    <row r="626" spans="1:7">
      <c r="A626" s="50"/>
      <c r="E626" s="211"/>
    </row>
    <row r="627" spans="1:7">
      <c r="A627" s="50"/>
      <c r="B627" s="50"/>
      <c r="C627" s="50"/>
      <c r="D627" s="50"/>
      <c r="F627" s="50"/>
      <c r="G627" s="59"/>
    </row>
    <row r="628" spans="1:7">
      <c r="A628" s="50"/>
      <c r="E628" s="211"/>
    </row>
    <row r="629" spans="1:7">
      <c r="A629" s="50"/>
      <c r="B629" s="50"/>
      <c r="C629" s="50"/>
      <c r="D629" s="50"/>
      <c r="F629" s="50"/>
      <c r="G629" s="59"/>
    </row>
    <row r="634" spans="1:7">
      <c r="E634" s="210"/>
    </row>
    <row r="635" spans="1:7">
      <c r="A635" s="50"/>
      <c r="B635" s="84"/>
      <c r="C635" s="84"/>
      <c r="D635" s="84"/>
      <c r="F635" s="84"/>
      <c r="G635" s="59"/>
    </row>
    <row r="636" spans="1:7">
      <c r="E636" s="211"/>
    </row>
    <row r="637" spans="1:7">
      <c r="A637" s="50"/>
      <c r="B637" s="50"/>
      <c r="C637" s="50"/>
      <c r="D637" s="50"/>
      <c r="F637" s="50"/>
      <c r="G637" s="59"/>
    </row>
    <row r="641" spans="1:7">
      <c r="E641" s="210"/>
    </row>
    <row r="642" spans="1:7">
      <c r="A642" s="83"/>
      <c r="B642" s="84"/>
      <c r="C642" s="84"/>
      <c r="D642" s="84"/>
      <c r="F642" s="84"/>
      <c r="G642" s="59"/>
    </row>
    <row r="643" spans="1:7">
      <c r="E643" s="211"/>
    </row>
    <row r="644" spans="1:7">
      <c r="A644" s="50"/>
      <c r="B644" s="50"/>
      <c r="C644" s="50"/>
      <c r="D644" s="50"/>
      <c r="F644" s="50"/>
      <c r="G644" s="59"/>
    </row>
    <row r="648" spans="1:7">
      <c r="E648" s="210"/>
    </row>
    <row r="649" spans="1:7">
      <c r="A649" s="83"/>
      <c r="B649" s="84"/>
      <c r="C649" s="84"/>
      <c r="D649" s="84"/>
      <c r="F649" s="84"/>
      <c r="G649" s="59"/>
    </row>
    <row r="650" spans="1:7">
      <c r="E650" s="211"/>
    </row>
    <row r="651" spans="1:7">
      <c r="A651" s="50"/>
      <c r="B651" s="50"/>
      <c r="C651" s="50"/>
      <c r="D651" s="50"/>
      <c r="F651" s="50"/>
      <c r="G651" s="59"/>
    </row>
    <row r="655" spans="1:7">
      <c r="E655" s="210"/>
    </row>
    <row r="656" spans="1:7">
      <c r="A656" s="83"/>
      <c r="B656" s="84"/>
      <c r="C656" s="84"/>
      <c r="D656" s="84"/>
      <c r="F656" s="84"/>
      <c r="G656" s="59"/>
    </row>
    <row r="657" spans="1:7">
      <c r="E657" s="211"/>
    </row>
    <row r="658" spans="1:7">
      <c r="A658" s="50"/>
      <c r="B658" s="50"/>
      <c r="C658" s="50"/>
      <c r="D658" s="50"/>
      <c r="F658" s="50"/>
      <c r="G658" s="59"/>
    </row>
    <row r="663" spans="1:7">
      <c r="E663" s="212"/>
    </row>
    <row r="664" spans="1:7">
      <c r="A664" s="83"/>
      <c r="B664" s="85"/>
      <c r="C664" s="85"/>
      <c r="D664" s="85"/>
      <c r="F664" s="85"/>
      <c r="G664" s="86"/>
    </row>
    <row r="666" spans="1:7">
      <c r="A666" s="50"/>
    </row>
  </sheetData>
  <customSheetViews>
    <customSheetView guid="{AE6F0488-1842-4C89-B05F-A836B633FB8F}" scale="75" showPageBreaks="1" hiddenColumns="1" showRuler="0">
      <pane ySplit="2.9705882352941178" topLeftCell="A55" activePane="bottomLeft"/>
      <selection pane="bottomLeft" activeCell="H68" sqref="H68"/>
      <rowBreaks count="12" manualBreakCount="12">
        <brk id="49" max="16" man="1"/>
        <brk id="95" max="16" man="1"/>
        <brk id="141" max="16" man="1"/>
        <brk id="186" max="16" man="1"/>
        <brk id="232" max="16" man="1"/>
        <brk id="277" max="16" man="1"/>
        <brk id="324" max="16" man="1"/>
        <brk id="369" max="16" man="1"/>
        <brk id="415" max="16" man="1"/>
        <brk id="461" max="16" man="1"/>
        <brk id="506" max="16" man="1"/>
        <brk id="549" max="16" man="1"/>
      </rowBreaks>
      <pageMargins left="0.17" right="0.16" top="0.91" bottom="0.9" header="0.4" footer="0.35"/>
      <pageSetup paperSize="5" scale="66" firstPageNumber="7" orientation="landscape" useFirstPageNumber="1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C4" sqref="C4"/>
      <rowBreaks count="12" manualBreakCount="12">
        <brk id="49" max="16" man="1"/>
        <brk id="99" max="17" man="1"/>
        <brk id="149" max="17" man="1"/>
        <brk id="200" max="17" man="1"/>
        <brk id="248" max="17" man="1"/>
        <brk id="296" max="17" man="1"/>
        <brk id="345" max="17" man="1"/>
        <brk id="393" max="17" man="1"/>
        <brk id="441" max="17" man="1"/>
        <brk id="489" max="17" man="1"/>
        <brk id="537" max="17" man="1"/>
        <brk id="585" max="17" man="1"/>
      </rowBreaks>
      <pageMargins left="0.17" right="0.16" top="0.91" bottom="0.9" header="0.4" footer="0.35"/>
      <pageSetup paperSize="5" scale="61" firstPageNumber="7" orientation="landscape" useFirstPageNumber="1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46" activePane="bottomRight" state="frozen"/>
      <selection pane="bottomRight" activeCell="C4" sqref="C4"/>
      <rowBreaks count="12" manualBreakCount="12">
        <brk id="49" max="16" man="1"/>
        <brk id="99" max="17" man="1"/>
        <brk id="149" max="17" man="1"/>
        <brk id="200" max="17" man="1"/>
        <brk id="248" max="17" man="1"/>
        <brk id="296" max="17" man="1"/>
        <brk id="345" max="17" man="1"/>
        <brk id="393" max="17" man="1"/>
        <brk id="441" max="17" man="1"/>
        <brk id="489" max="17" man="1"/>
        <brk id="537" max="17" man="1"/>
        <brk id="585" max="17" man="1"/>
      </rowBreaks>
      <pageMargins left="0.17" right="0.16" top="0.91" bottom="0.9" header="0.4" footer="0.35"/>
      <pageSetup paperSize="5" scale="61" firstPageNumber="7" orientation="landscape" useFirstPageNumber="1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1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11" manualBreakCount="11">
    <brk id="53" max="16" man="1"/>
    <brk id="98" max="16" man="1"/>
    <brk id="149" max="16" man="1"/>
    <brk id="200" max="16" man="1"/>
    <brk id="248" max="16" man="1"/>
    <brk id="296" max="16" man="1"/>
    <brk id="344" max="16" man="1"/>
    <brk id="405" max="16" man="1"/>
    <brk id="461" max="16" man="1"/>
    <brk id="537" max="16" man="1"/>
    <brk id="597" max="16" man="1"/>
  </rowBreaks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79998168889431442"/>
    <pageSetUpPr fitToPage="1"/>
  </sheetPr>
  <dimension ref="A1:Y1683"/>
  <sheetViews>
    <sheetView view="pageBreakPreview" zoomScale="68" zoomScaleNormal="84" zoomScaleSheetLayoutView="68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M22" sqref="M22"/>
    </sheetView>
  </sheetViews>
  <sheetFormatPr defaultColWidth="9.140625" defaultRowHeight="12.75"/>
  <cols>
    <col min="1" max="1" width="31.28515625" style="49" customWidth="1"/>
    <col min="2" max="2" width="13.5703125" style="82" customWidth="1"/>
    <col min="3" max="3" width="11" style="82" customWidth="1"/>
    <col min="4" max="4" width="11.140625" style="43" customWidth="1"/>
    <col min="5" max="5" width="15.7109375" style="209" hidden="1" customWidth="1"/>
    <col min="6" max="6" width="18.5703125" style="409" customWidth="1"/>
    <col min="7" max="7" width="17.42578125" style="82" customWidth="1"/>
    <col min="8" max="8" width="19.7109375" style="49" customWidth="1"/>
    <col min="9" max="9" width="15.85546875" style="49" customWidth="1"/>
    <col min="10" max="10" width="15.28515625" style="49" customWidth="1"/>
    <col min="11" max="11" width="14.85546875" style="49" customWidth="1"/>
    <col min="12" max="12" width="20.28515625" style="49" customWidth="1"/>
    <col min="13" max="13" width="19.140625" style="49" customWidth="1"/>
    <col min="14" max="14" width="19.5703125" style="49" customWidth="1"/>
    <col min="15" max="15" width="17.140625" style="49" customWidth="1"/>
    <col min="16" max="16" width="15.85546875" style="49" customWidth="1"/>
    <col min="17" max="17" width="24.7109375" style="49" customWidth="1"/>
    <col min="18" max="18" width="5.85546875" style="49" customWidth="1"/>
    <col min="19" max="19" width="14.5703125" style="49" bestFit="1" customWidth="1"/>
    <col min="20" max="21" width="15.85546875" style="49" customWidth="1"/>
    <col min="22" max="22" width="15.140625" style="49" customWidth="1"/>
    <col min="23" max="23" width="16.7109375" style="49" customWidth="1"/>
    <col min="24" max="24" width="16.5703125" style="49" customWidth="1"/>
    <col min="25" max="16384" width="9.140625" style="49"/>
  </cols>
  <sheetData>
    <row r="1" spans="1:25" ht="15.75" customHeight="1">
      <c r="A1" s="1" t="s">
        <v>39</v>
      </c>
      <c r="B1" s="542" t="s">
        <v>573</v>
      </c>
      <c r="C1" s="475"/>
      <c r="D1" s="399"/>
      <c r="E1" s="399"/>
      <c r="F1" s="399"/>
      <c r="G1" s="399"/>
      <c r="H1" s="399"/>
      <c r="I1" s="399"/>
      <c r="J1" s="43"/>
      <c r="K1" s="43"/>
      <c r="L1" s="43"/>
      <c r="M1" s="43"/>
      <c r="N1" s="43"/>
      <c r="O1" s="43"/>
      <c r="P1" s="43"/>
      <c r="Q1" s="43"/>
      <c r="T1" s="43"/>
    </row>
    <row r="2" spans="1:25" ht="15.75" customHeight="1">
      <c r="A2" s="1"/>
      <c r="B2" s="43">
        <v>-1</v>
      </c>
      <c r="C2" s="43">
        <v>-2</v>
      </c>
      <c r="D2" s="43">
        <v>-3</v>
      </c>
      <c r="E2" s="173"/>
      <c r="F2" s="409">
        <v>-4</v>
      </c>
      <c r="G2" s="43">
        <v>-5</v>
      </c>
      <c r="H2" s="43">
        <v>-6</v>
      </c>
      <c r="I2" s="43">
        <v>-7</v>
      </c>
      <c r="J2" s="43">
        <v>-8</v>
      </c>
      <c r="K2" s="43">
        <v>-9</v>
      </c>
      <c r="L2" s="43">
        <v>-10</v>
      </c>
      <c r="M2" s="43">
        <v>-11</v>
      </c>
      <c r="N2" s="43">
        <v>-12</v>
      </c>
      <c r="O2" s="43">
        <v>-13</v>
      </c>
      <c r="P2" s="43">
        <v>-14</v>
      </c>
      <c r="Q2" s="43">
        <v>-15</v>
      </c>
      <c r="T2" s="43"/>
    </row>
    <row r="3" spans="1:25" s="9" customFormat="1" ht="85.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410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43"/>
      <c r="C4" s="51"/>
      <c r="D4" s="52"/>
      <c r="E4" s="203"/>
      <c r="F4" s="411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T4" s="53"/>
    </row>
    <row r="5" spans="1:25">
      <c r="A5" s="54" t="s">
        <v>10</v>
      </c>
      <c r="B5" s="51"/>
      <c r="C5" s="51"/>
      <c r="D5" s="52"/>
      <c r="E5" s="203"/>
      <c r="F5" s="411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T5" s="53"/>
    </row>
    <row r="6" spans="1:25">
      <c r="A6" s="50"/>
      <c r="B6" s="51"/>
      <c r="C6" s="51"/>
      <c r="D6" s="52"/>
      <c r="E6" s="203"/>
      <c r="F6" s="411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T6" s="53"/>
    </row>
    <row r="7" spans="1:25">
      <c r="A7" s="47" t="str">
        <f>A40</f>
        <v>STATE OF NEVADA</v>
      </c>
      <c r="B7" s="48">
        <f t="shared" ref="B7:Q7" si="0">B49</f>
        <v>0.17</v>
      </c>
      <c r="C7" s="48">
        <f t="shared" si="0"/>
        <v>0</v>
      </c>
      <c r="D7" s="43">
        <f t="shared" si="0"/>
        <v>27985</v>
      </c>
      <c r="E7" s="173"/>
      <c r="F7" s="409">
        <f t="shared" si="0"/>
        <v>5214250659.2494116</v>
      </c>
      <c r="G7" s="53">
        <f t="shared" si="0"/>
        <v>271056.51790000004</v>
      </c>
      <c r="H7" s="53">
        <f t="shared" si="0"/>
        <v>8580287.477</v>
      </c>
      <c r="I7" s="53">
        <f t="shared" si="0"/>
        <v>0</v>
      </c>
      <c r="J7" s="53">
        <f t="shared" si="0"/>
        <v>34208.32</v>
      </c>
      <c r="K7" s="53">
        <f t="shared" si="0"/>
        <v>214.2</v>
      </c>
      <c r="L7" s="53">
        <f t="shared" si="0"/>
        <v>8817349.8748999983</v>
      </c>
      <c r="M7" s="53">
        <f t="shared" si="0"/>
        <v>1019865.0499999999</v>
      </c>
      <c r="N7" s="53">
        <f t="shared" si="0"/>
        <v>7797484.8249000004</v>
      </c>
      <c r="O7" s="53">
        <f t="shared" si="0"/>
        <v>189158.71999999997</v>
      </c>
      <c r="P7" s="53">
        <f>P49</f>
        <v>0</v>
      </c>
      <c r="Q7" s="53">
        <f t="shared" si="0"/>
        <v>7608326.1048999997</v>
      </c>
      <c r="T7" s="53"/>
      <c r="W7" s="174" t="s">
        <v>15</v>
      </c>
      <c r="X7" s="284">
        <f>Q42+Q67+Q86+Q98+Q112+Q124+Q136+Q148+Q160+Q172+Q196+Q208+Q220+Q232+Q244+Q256+Q268+Q280+Q292+Q304+Q316+Q328+Q340+Q352+Q364+Q376+Q388+Q400+Q412</f>
        <v>124599988.74000001</v>
      </c>
    </row>
    <row r="8" spans="1:25">
      <c r="A8" s="49" t="str">
        <f>A52</f>
        <v>GENERAL COUNTY</v>
      </c>
      <c r="B8" s="48">
        <f t="shared" ref="B8:Q8" si="1">B74</f>
        <v>1.1679999999999999</v>
      </c>
      <c r="C8" s="48">
        <f t="shared" si="1"/>
        <v>0</v>
      </c>
      <c r="D8" s="43">
        <f t="shared" si="1"/>
        <v>27985</v>
      </c>
      <c r="E8" s="173"/>
      <c r="F8" s="412">
        <f t="shared" si="1"/>
        <v>5214250793.7679453</v>
      </c>
      <c r="G8" s="53">
        <f t="shared" si="1"/>
        <v>1862317.2981599998</v>
      </c>
      <c r="H8" s="53">
        <f t="shared" si="1"/>
        <v>58925984.860800013</v>
      </c>
      <c r="I8" s="53">
        <f t="shared" si="1"/>
        <v>0</v>
      </c>
      <c r="J8" s="53">
        <f t="shared" si="1"/>
        <v>234578.41999999995</v>
      </c>
      <c r="K8" s="53">
        <f t="shared" si="1"/>
        <v>1438.04</v>
      </c>
      <c r="L8" s="53">
        <f t="shared" si="1"/>
        <v>60555161.778960012</v>
      </c>
      <c r="M8" s="53">
        <f t="shared" si="1"/>
        <v>10952969.26</v>
      </c>
      <c r="N8" s="53">
        <f t="shared" si="1"/>
        <v>49602192.518960007</v>
      </c>
      <c r="O8" s="53">
        <f t="shared" si="1"/>
        <v>1402715.8499999999</v>
      </c>
      <c r="P8" s="53">
        <f>P74</f>
        <v>0</v>
      </c>
      <c r="Q8" s="53">
        <f t="shared" si="1"/>
        <v>48199476.668960005</v>
      </c>
      <c r="T8" s="53"/>
      <c r="W8" s="171" t="s">
        <v>16</v>
      </c>
      <c r="X8" s="284">
        <f>Q43+Q68+Q87+Q99+Q113+Q125+Q137+Q149+Q161+Q173+Q197+Q209+Q221+Q233+Q245+Q257+Q269+Q281+Q293+Q305+Q317+Q329+Q341+Q353+Q365+Q377+Q389+Q401+Q413</f>
        <v>3470834.7390230005</v>
      </c>
    </row>
    <row r="9" spans="1:25">
      <c r="A9" s="47" t="str">
        <f>A84</f>
        <v>SCHOOL DISTRICT</v>
      </c>
      <c r="B9" s="48">
        <f t="shared" ref="B9:Q9" si="2">B107</f>
        <v>0.85</v>
      </c>
      <c r="C9" s="48">
        <f t="shared" si="2"/>
        <v>0</v>
      </c>
      <c r="D9" s="43">
        <f t="shared" si="2"/>
        <v>27985</v>
      </c>
      <c r="E9" s="173"/>
      <c r="F9" s="413">
        <f t="shared" si="2"/>
        <v>5214250806.3866673</v>
      </c>
      <c r="G9" s="53">
        <f t="shared" si="2"/>
        <v>1355282.3295</v>
      </c>
      <c r="H9" s="53">
        <f t="shared" si="2"/>
        <v>42912636.225000001</v>
      </c>
      <c r="I9" s="53">
        <f t="shared" si="2"/>
        <v>0</v>
      </c>
      <c r="J9" s="53">
        <f t="shared" si="2"/>
        <v>171044.36999999997</v>
      </c>
      <c r="K9" s="53">
        <f t="shared" si="2"/>
        <v>1085.94</v>
      </c>
      <c r="L9" s="53">
        <f t="shared" si="2"/>
        <v>44097960.124499992</v>
      </c>
      <c r="M9" s="53">
        <f t="shared" si="2"/>
        <v>5116362.6900000004</v>
      </c>
      <c r="N9" s="53">
        <f t="shared" si="2"/>
        <v>38981597.434499994</v>
      </c>
      <c r="O9" s="53">
        <f t="shared" si="2"/>
        <v>900721.42999999993</v>
      </c>
      <c r="P9" s="53">
        <f>P107</f>
        <v>0</v>
      </c>
      <c r="Q9" s="53">
        <f t="shared" si="2"/>
        <v>38080876.004499987</v>
      </c>
      <c r="T9" s="53"/>
      <c r="W9" s="171" t="s">
        <v>17</v>
      </c>
      <c r="X9" s="284">
        <f>Q44+Q69+Q88+Q100+Q114+Q126+Q138+Q150+Q162+Q174+Q198+Q210+Q222+Q234+Q246+Q258+Q270+Q282+Q294+Q306+Q318+Q330+Q342+Q354+Q366+Q378+Q390+Q402+Q414</f>
        <v>2521791.029482</v>
      </c>
    </row>
    <row r="10" spans="1:25">
      <c r="A10" s="49" t="str">
        <f>A110</f>
        <v>GARDNERVILLE TOWN</v>
      </c>
      <c r="B10" s="48">
        <f t="shared" ref="B10:Q10" si="3">B119</f>
        <v>0.66769999999999996</v>
      </c>
      <c r="C10" s="48">
        <f t="shared" si="3"/>
        <v>0</v>
      </c>
      <c r="D10" s="43">
        <f t="shared" si="3"/>
        <v>2419</v>
      </c>
      <c r="E10" s="173"/>
      <c r="F10" s="413">
        <f t="shared" si="3"/>
        <v>298416460.88964212</v>
      </c>
      <c r="G10" s="53">
        <f t="shared" si="3"/>
        <v>52938.950196999998</v>
      </c>
      <c r="H10" s="53">
        <f t="shared" si="3"/>
        <v>1948141.5596410001</v>
      </c>
      <c r="I10" s="53">
        <f t="shared" si="3"/>
        <v>0</v>
      </c>
      <c r="J10" s="53">
        <f t="shared" si="3"/>
        <v>9125.61</v>
      </c>
      <c r="K10" s="53">
        <f t="shared" si="3"/>
        <v>35.83</v>
      </c>
      <c r="L10" s="53">
        <f t="shared" si="3"/>
        <v>1991990.7298380001</v>
      </c>
      <c r="M10" s="53">
        <f t="shared" si="3"/>
        <v>228096.69</v>
      </c>
      <c r="N10" s="53">
        <f t="shared" si="3"/>
        <v>1763894.0398380002</v>
      </c>
      <c r="O10" s="53">
        <f t="shared" si="3"/>
        <v>0</v>
      </c>
      <c r="P10" s="53">
        <f>P119</f>
        <v>0</v>
      </c>
      <c r="Q10" s="53">
        <f t="shared" si="3"/>
        <v>1763894.0398380002</v>
      </c>
      <c r="S10" s="53">
        <f>SUM(L10:L12)</f>
        <v>4216174.6843260005</v>
      </c>
      <c r="T10" s="53">
        <f>SUM(Q10:Q12)</f>
        <v>3796273.8943260005</v>
      </c>
      <c r="W10" s="171" t="s">
        <v>18</v>
      </c>
      <c r="X10" s="284"/>
    </row>
    <row r="11" spans="1:25">
      <c r="A11" s="49" t="str">
        <f>A122</f>
        <v>GENOA TOWN</v>
      </c>
      <c r="B11" s="48">
        <f t="shared" ref="B11:Q11" si="4">B131</f>
        <v>0.63239999999999996</v>
      </c>
      <c r="C11" s="48">
        <f t="shared" si="4"/>
        <v>0</v>
      </c>
      <c r="D11" s="43">
        <f t="shared" si="4"/>
        <v>140</v>
      </c>
      <c r="E11" s="173"/>
      <c r="F11" s="413">
        <f t="shared" si="4"/>
        <v>22536131.974699557</v>
      </c>
      <c r="G11" s="53">
        <f t="shared" si="4"/>
        <v>2546.6001479999995</v>
      </c>
      <c r="H11" s="53">
        <f t="shared" si="4"/>
        <v>140488.59172800003</v>
      </c>
      <c r="I11" s="53">
        <f t="shared" si="4"/>
        <v>0</v>
      </c>
      <c r="J11" s="53">
        <f t="shared" si="4"/>
        <v>572.9</v>
      </c>
      <c r="K11" s="53">
        <f t="shared" si="4"/>
        <v>0</v>
      </c>
      <c r="L11" s="53">
        <f t="shared" si="4"/>
        <v>142462.29187600003</v>
      </c>
      <c r="M11" s="53">
        <f t="shared" si="4"/>
        <v>42653</v>
      </c>
      <c r="N11" s="53">
        <f t="shared" si="4"/>
        <v>99809.291876000018</v>
      </c>
      <c r="O11" s="53">
        <f t="shared" si="4"/>
        <v>0</v>
      </c>
      <c r="P11" s="53">
        <f>P131</f>
        <v>0</v>
      </c>
      <c r="Q11" s="53">
        <f t="shared" si="4"/>
        <v>99809.291876000018</v>
      </c>
      <c r="T11" s="53"/>
      <c r="W11" s="285" t="s">
        <v>19</v>
      </c>
      <c r="X11" s="284">
        <f>Q46+Q71+Q90+Q102+Q116+Q128+Q140+Q152+Q164+Q176+Q200+Q212+Q224+Q236+Q248+Q260+Q272+Q284+Q296+Q308+Q320+Q332+Q344+Q356+Q368+Q380+Q392+Q404+Q416</f>
        <v>1702430.6600000004</v>
      </c>
      <c r="Y11" s="390" t="s">
        <v>461</v>
      </c>
    </row>
    <row r="12" spans="1:25">
      <c r="A12" s="47" t="str">
        <f>A134</f>
        <v>MINDEN TOWN</v>
      </c>
      <c r="B12" s="48">
        <f t="shared" ref="B12:Q12" si="5">B143</f>
        <v>0.66769999999999996</v>
      </c>
      <c r="C12" s="48">
        <f t="shared" si="5"/>
        <v>0</v>
      </c>
      <c r="D12" s="43">
        <f t="shared" si="5"/>
        <v>2112</v>
      </c>
      <c r="E12" s="173"/>
      <c r="F12" s="413">
        <f t="shared" si="5"/>
        <v>311837738.72206229</v>
      </c>
      <c r="G12" s="53">
        <f t="shared" si="5"/>
        <v>100193.529197</v>
      </c>
      <c r="H12" s="53">
        <f t="shared" si="5"/>
        <v>1990128.323415</v>
      </c>
      <c r="I12" s="53">
        <f t="shared" si="5"/>
        <v>0</v>
      </c>
      <c r="J12" s="53">
        <f t="shared" si="5"/>
        <v>8600.19</v>
      </c>
      <c r="K12" s="53">
        <f t="shared" si="5"/>
        <v>0</v>
      </c>
      <c r="L12" s="53">
        <f t="shared" si="5"/>
        <v>2081721.662612</v>
      </c>
      <c r="M12" s="53">
        <f t="shared" si="5"/>
        <v>149151.09999999998</v>
      </c>
      <c r="N12" s="53">
        <f t="shared" si="5"/>
        <v>1932570.5626120002</v>
      </c>
      <c r="O12" s="53">
        <f t="shared" si="5"/>
        <v>0</v>
      </c>
      <c r="P12" s="53">
        <f>P143</f>
        <v>0</v>
      </c>
      <c r="Q12" s="53">
        <f t="shared" si="5"/>
        <v>1932570.5626120002</v>
      </c>
      <c r="T12" s="53"/>
      <c r="W12" s="285" t="s">
        <v>20</v>
      </c>
      <c r="X12" s="284">
        <f>Q47+Q72+Q91+Q103+Q117+Q129+Q141+Q153+Q165+Q177+Q201+Q213+Q225+Q237+Q249+Q261+Q273+Q285+Q297+Q309+Q321+Q333+Q345+Q357+Q369+Q381+Q393+Q405+Q417</f>
        <v>360989.71</v>
      </c>
      <c r="Y12" s="390" t="s">
        <v>461</v>
      </c>
    </row>
    <row r="13" spans="1:25">
      <c r="A13" s="49" t="str">
        <f>A146</f>
        <v>CARSON WATER SUBCONSERVANCY</v>
      </c>
      <c r="B13" s="48">
        <f t="shared" ref="B13:Q13" si="6">B155</f>
        <v>0.03</v>
      </c>
      <c r="C13" s="48">
        <f t="shared" si="6"/>
        <v>0</v>
      </c>
      <c r="D13" s="43">
        <f t="shared" si="6"/>
        <v>22716</v>
      </c>
      <c r="E13" s="173"/>
      <c r="F13" s="413">
        <f t="shared" si="6"/>
        <v>3518926469.5599999</v>
      </c>
      <c r="G13" s="53">
        <f t="shared" si="6"/>
        <v>36987.009700000002</v>
      </c>
      <c r="H13" s="53">
        <f t="shared" si="6"/>
        <v>1022433.3907</v>
      </c>
      <c r="I13" s="53">
        <f t="shared" si="6"/>
        <v>0</v>
      </c>
      <c r="J13" s="53">
        <f t="shared" si="6"/>
        <v>4227.37</v>
      </c>
      <c r="K13" s="53">
        <f t="shared" si="6"/>
        <v>18.260000000000002</v>
      </c>
      <c r="L13" s="53">
        <f t="shared" si="6"/>
        <v>1055211.2904000001</v>
      </c>
      <c r="M13" s="53">
        <f t="shared" si="6"/>
        <v>126885.48</v>
      </c>
      <c r="N13" s="53">
        <f t="shared" si="6"/>
        <v>928325.81039999996</v>
      </c>
      <c r="O13" s="53">
        <f t="shared" si="6"/>
        <v>0</v>
      </c>
      <c r="P13" s="53">
        <f>P155</f>
        <v>0</v>
      </c>
      <c r="Q13" s="53">
        <f t="shared" si="6"/>
        <v>928325.81039999996</v>
      </c>
      <c r="S13" s="53">
        <f>SUM(L13:L35)</f>
        <v>44277683.765818998</v>
      </c>
      <c r="T13" s="53">
        <f>SUM(Q13:Q35)</f>
        <v>34971082.205819003</v>
      </c>
      <c r="W13" s="174"/>
      <c r="X13" s="284"/>
    </row>
    <row r="14" spans="1:25">
      <c r="A14" s="55" t="str">
        <f>A158</f>
        <v>CAVE ROCK ESTATES GID</v>
      </c>
      <c r="B14" s="48">
        <f t="shared" ref="B14:Q14" si="7">B167</f>
        <v>0.41499999999999998</v>
      </c>
      <c r="C14" s="48">
        <f t="shared" si="7"/>
        <v>0</v>
      </c>
      <c r="D14" s="43">
        <f t="shared" si="7"/>
        <v>92</v>
      </c>
      <c r="E14" s="173"/>
      <c r="F14" s="413">
        <f t="shared" si="7"/>
        <v>33074006.212289158</v>
      </c>
      <c r="G14" s="53">
        <f t="shared" si="7"/>
        <v>512.86149999999998</v>
      </c>
      <c r="H14" s="53">
        <f t="shared" si="7"/>
        <v>136909.0655</v>
      </c>
      <c r="I14" s="53">
        <f t="shared" si="7"/>
        <v>0</v>
      </c>
      <c r="J14" s="53">
        <f t="shared" si="7"/>
        <v>190.8</v>
      </c>
      <c r="K14" s="53">
        <f t="shared" si="7"/>
        <v>0</v>
      </c>
      <c r="L14" s="53">
        <f t="shared" si="7"/>
        <v>137231.12699999998</v>
      </c>
      <c r="M14" s="53">
        <f t="shared" si="7"/>
        <v>21445.66</v>
      </c>
      <c r="N14" s="53">
        <f t="shared" si="7"/>
        <v>115785.46700000002</v>
      </c>
      <c r="O14" s="53">
        <f t="shared" si="7"/>
        <v>0</v>
      </c>
      <c r="P14" s="53">
        <f>P167</f>
        <v>0</v>
      </c>
      <c r="Q14" s="53">
        <f t="shared" si="7"/>
        <v>115785.46700000002</v>
      </c>
      <c r="T14" s="53"/>
      <c r="W14" s="174"/>
      <c r="X14" s="284">
        <f>Q49+Q74+Q93+Q105+Q119+Q131+Q143+Q155+Q167+Q179+Q203+Q215+Q227+Q239+Q251+Q263+Q275+Q287+Q299+Q311+Q323+Q335+Q347+Q359+Q371+Q383+Q395+Q407+Q419</f>
        <v>132656034.87850499</v>
      </c>
    </row>
    <row r="15" spans="1:25">
      <c r="A15" s="49" t="str">
        <f>A170</f>
        <v>DOUGLAS COUNTY MOSQUITO ABATEMENT</v>
      </c>
      <c r="B15" s="48">
        <f t="shared" ref="B15:Q15" si="8">B179</f>
        <v>3.4500000000000003E-2</v>
      </c>
      <c r="C15" s="48">
        <f t="shared" si="8"/>
        <v>0</v>
      </c>
      <c r="D15" s="43">
        <f t="shared" si="8"/>
        <v>21121</v>
      </c>
      <c r="E15" s="173"/>
      <c r="F15" s="413">
        <f t="shared" si="8"/>
        <v>3325363411.0895648</v>
      </c>
      <c r="G15" s="53">
        <f t="shared" si="8"/>
        <v>41869.308185000009</v>
      </c>
      <c r="H15" s="53">
        <f t="shared" si="8"/>
        <v>1109616.3935199999</v>
      </c>
      <c r="I15" s="53">
        <f t="shared" si="8"/>
        <v>0</v>
      </c>
      <c r="J15" s="53">
        <f t="shared" si="8"/>
        <v>4775</v>
      </c>
      <c r="K15" s="53">
        <f t="shared" si="8"/>
        <v>20.059999999999999</v>
      </c>
      <c r="L15" s="53">
        <f t="shared" si="8"/>
        <v>1146730.7617049997</v>
      </c>
      <c r="M15" s="53">
        <f t="shared" si="8"/>
        <v>197891.78999999998</v>
      </c>
      <c r="N15" s="53">
        <f t="shared" si="8"/>
        <v>948838.97170499992</v>
      </c>
      <c r="O15" s="53">
        <f t="shared" si="8"/>
        <v>0</v>
      </c>
      <c r="P15" s="53">
        <f>P179</f>
        <v>0</v>
      </c>
      <c r="Q15" s="53">
        <f t="shared" si="8"/>
        <v>948838.97170499992</v>
      </c>
      <c r="T15" s="53"/>
    </row>
    <row r="16" spans="1:25" hidden="1">
      <c r="A16" s="56" t="s">
        <v>43</v>
      </c>
      <c r="B16" s="48">
        <f t="shared" ref="B16:Q16" si="9">B191</f>
        <v>0</v>
      </c>
      <c r="C16" s="48">
        <f t="shared" si="9"/>
        <v>0</v>
      </c>
      <c r="D16" s="43">
        <f t="shared" si="9"/>
        <v>0</v>
      </c>
      <c r="E16" s="173"/>
      <c r="F16" s="413">
        <f t="shared" si="9"/>
        <v>0</v>
      </c>
      <c r="G16" s="53">
        <f t="shared" si="9"/>
        <v>0</v>
      </c>
      <c r="H16" s="53">
        <f t="shared" si="9"/>
        <v>0</v>
      </c>
      <c r="I16" s="53">
        <f t="shared" si="9"/>
        <v>0</v>
      </c>
      <c r="J16" s="53">
        <f t="shared" si="9"/>
        <v>0</v>
      </c>
      <c r="K16" s="53">
        <f t="shared" si="9"/>
        <v>0</v>
      </c>
      <c r="L16" s="53">
        <f t="shared" si="9"/>
        <v>0</v>
      </c>
      <c r="M16" s="53">
        <f t="shared" si="9"/>
        <v>0</v>
      </c>
      <c r="N16" s="53">
        <f t="shared" si="9"/>
        <v>0</v>
      </c>
      <c r="O16" s="53">
        <f t="shared" si="9"/>
        <v>0</v>
      </c>
      <c r="P16" s="53">
        <f>P191</f>
        <v>0</v>
      </c>
      <c r="Q16" s="53">
        <f t="shared" si="9"/>
        <v>0</v>
      </c>
      <c r="T16" s="53"/>
    </row>
    <row r="17" spans="1:24">
      <c r="A17" s="49" t="str">
        <f>A194</f>
        <v>EAST FORK FIRE PROTECTION DISTRICT</v>
      </c>
      <c r="B17" s="48">
        <f t="shared" ref="B17:Q17" si="10">B203</f>
        <v>0.4874</v>
      </c>
      <c r="C17" s="48">
        <f t="shared" si="10"/>
        <v>0</v>
      </c>
      <c r="D17" s="43">
        <f t="shared" si="10"/>
        <v>22748</v>
      </c>
      <c r="E17" s="173"/>
      <c r="F17" s="413">
        <f t="shared" si="10"/>
        <v>3432215980.7465487</v>
      </c>
      <c r="G17" s="53">
        <f t="shared" si="10"/>
        <v>606215.76580000005</v>
      </c>
      <c r="H17" s="53">
        <f t="shared" si="10"/>
        <v>16188362.309926001</v>
      </c>
      <c r="I17" s="53">
        <f t="shared" si="10"/>
        <v>0</v>
      </c>
      <c r="J17" s="53">
        <f t="shared" si="10"/>
        <v>74571</v>
      </c>
      <c r="K17" s="53">
        <f t="shared" si="10"/>
        <v>282.95</v>
      </c>
      <c r="L17" s="53">
        <f t="shared" si="10"/>
        <v>16720290.025726002</v>
      </c>
      <c r="M17" s="53">
        <f t="shared" si="10"/>
        <v>2290678.6300000004</v>
      </c>
      <c r="N17" s="53">
        <f t="shared" si="10"/>
        <v>14429611.395726001</v>
      </c>
      <c r="O17" s="53">
        <f t="shared" si="10"/>
        <v>0</v>
      </c>
      <c r="P17" s="53">
        <f>P203</f>
        <v>0</v>
      </c>
      <c r="Q17" s="53">
        <f t="shared" si="10"/>
        <v>14429611.395726001</v>
      </c>
      <c r="T17" s="53"/>
    </row>
    <row r="18" spans="1:24" hidden="1">
      <c r="A18" s="49" t="str">
        <f>A206</f>
        <v>EAST FORK PARAMEDIC DISTRICT</v>
      </c>
      <c r="B18" s="48">
        <f t="shared" ref="B18:Q18" si="11">B215</f>
        <v>0</v>
      </c>
      <c r="C18" s="48">
        <f t="shared" si="11"/>
        <v>0</v>
      </c>
      <c r="D18" s="43">
        <f t="shared" si="11"/>
        <v>0</v>
      </c>
      <c r="E18" s="173"/>
      <c r="F18" s="413">
        <f t="shared" si="11"/>
        <v>0</v>
      </c>
      <c r="G18" s="53">
        <f t="shared" si="11"/>
        <v>0</v>
      </c>
      <c r="H18" s="53">
        <f t="shared" si="11"/>
        <v>0</v>
      </c>
      <c r="I18" s="53">
        <f t="shared" si="11"/>
        <v>0</v>
      </c>
      <c r="J18" s="53">
        <f t="shared" si="11"/>
        <v>0</v>
      </c>
      <c r="K18" s="53">
        <f t="shared" si="11"/>
        <v>0</v>
      </c>
      <c r="L18" s="53">
        <f t="shared" si="11"/>
        <v>0</v>
      </c>
      <c r="M18" s="53">
        <f t="shared" si="11"/>
        <v>0</v>
      </c>
      <c r="N18" s="53">
        <f t="shared" si="11"/>
        <v>0</v>
      </c>
      <c r="O18" s="53">
        <f t="shared" si="11"/>
        <v>0</v>
      </c>
      <c r="P18" s="53">
        <f>P215</f>
        <v>0</v>
      </c>
      <c r="Q18" s="53">
        <f t="shared" si="11"/>
        <v>0</v>
      </c>
      <c r="T18" s="53"/>
    </row>
    <row r="19" spans="1:24">
      <c r="A19" s="49" t="str">
        <f>A218</f>
        <v>EAST FORK SWIMMING POOL DISTRICT</v>
      </c>
      <c r="B19" s="48">
        <f t="shared" ref="B19:Q19" si="12">B227</f>
        <v>0.13</v>
      </c>
      <c r="C19" s="48">
        <f t="shared" si="12"/>
        <v>0</v>
      </c>
      <c r="D19" s="43">
        <f t="shared" si="12"/>
        <v>22734</v>
      </c>
      <c r="E19" s="173"/>
      <c r="F19" s="413">
        <f t="shared" si="12"/>
        <v>3426715181.1030774</v>
      </c>
      <c r="G19" s="53">
        <f t="shared" si="12"/>
        <v>161129.3247</v>
      </c>
      <c r="H19" s="53">
        <f t="shared" si="12"/>
        <v>4311182.6721999999</v>
      </c>
      <c r="I19" s="53">
        <f t="shared" si="12"/>
        <v>0</v>
      </c>
      <c r="J19" s="53">
        <f t="shared" si="12"/>
        <v>19867.32</v>
      </c>
      <c r="K19" s="53">
        <f t="shared" si="12"/>
        <v>75.400000000000006</v>
      </c>
      <c r="L19" s="53">
        <f t="shared" si="12"/>
        <v>4452520.0768999998</v>
      </c>
      <c r="M19" s="53">
        <f t="shared" si="12"/>
        <v>613026.05999999994</v>
      </c>
      <c r="N19" s="53">
        <f t="shared" si="12"/>
        <v>3839494.0168999997</v>
      </c>
      <c r="O19" s="53">
        <f t="shared" si="12"/>
        <v>0</v>
      </c>
      <c r="P19" s="53">
        <f>P227</f>
        <v>0</v>
      </c>
      <c r="Q19" s="53">
        <f t="shared" si="12"/>
        <v>3839494.0168999997</v>
      </c>
      <c r="T19" s="53"/>
      <c r="X19" s="53"/>
    </row>
    <row r="20" spans="1:24">
      <c r="A20" s="49" t="str">
        <f>A230</f>
        <v>ELK POINT SANITATION DISTRICT</v>
      </c>
      <c r="B20" s="48">
        <f t="shared" ref="B20:Q20" si="13">B239</f>
        <v>9.4999999999999998E-3</v>
      </c>
      <c r="C20" s="48">
        <f t="shared" si="13"/>
        <v>0</v>
      </c>
      <c r="D20" s="43">
        <f t="shared" si="13"/>
        <v>94</v>
      </c>
      <c r="E20" s="173"/>
      <c r="F20" s="413">
        <f t="shared" si="13"/>
        <v>59023686.049999997</v>
      </c>
      <c r="G20" s="53">
        <f t="shared" si="13"/>
        <v>0.02</v>
      </c>
      <c r="H20" s="53">
        <f t="shared" si="13"/>
        <v>5569.6621050000003</v>
      </c>
      <c r="I20" s="53">
        <f t="shared" si="13"/>
        <v>0</v>
      </c>
      <c r="J20" s="53">
        <f t="shared" si="13"/>
        <v>0</v>
      </c>
      <c r="K20" s="53">
        <f t="shared" si="13"/>
        <v>0</v>
      </c>
      <c r="L20" s="53">
        <f t="shared" si="13"/>
        <v>5569.6821050000008</v>
      </c>
      <c r="M20" s="53">
        <f t="shared" si="13"/>
        <v>1013.6899999999999</v>
      </c>
      <c r="N20" s="53">
        <f t="shared" si="13"/>
        <v>4555.9921050000012</v>
      </c>
      <c r="O20" s="53">
        <f t="shared" si="13"/>
        <v>0</v>
      </c>
      <c r="P20" s="53">
        <f>P239</f>
        <v>0</v>
      </c>
      <c r="Q20" s="53">
        <f t="shared" si="13"/>
        <v>4555.9921050000012</v>
      </c>
      <c r="T20" s="53"/>
    </row>
    <row r="21" spans="1:24">
      <c r="A21" s="49" t="str">
        <f>A242</f>
        <v>GARDNERVILLE RANCHOS GID</v>
      </c>
      <c r="B21" s="48">
        <f t="shared" ref="B21:O21" si="14">B251</f>
        <v>0.55000000000000004</v>
      </c>
      <c r="C21" s="48">
        <f t="shared" si="14"/>
        <v>0</v>
      </c>
      <c r="D21" s="43">
        <f t="shared" si="14"/>
        <v>4144</v>
      </c>
      <c r="E21" s="173"/>
      <c r="F21" s="413">
        <f t="shared" ref="F21:N21" si="15">F251</f>
        <v>410540818.26909095</v>
      </c>
      <c r="G21" s="18">
        <f t="shared" si="15"/>
        <v>25466.283500000009</v>
      </c>
      <c r="H21" s="18">
        <f t="shared" si="15"/>
        <v>2247536.1359999999</v>
      </c>
      <c r="I21" s="18">
        <f t="shared" si="15"/>
        <v>0</v>
      </c>
      <c r="J21" s="18">
        <f t="shared" si="15"/>
        <v>15310.650000000001</v>
      </c>
      <c r="K21" s="18">
        <f t="shared" si="15"/>
        <v>0</v>
      </c>
      <c r="L21" s="18">
        <f t="shared" si="15"/>
        <v>2257691.7694999999</v>
      </c>
      <c r="M21" s="18">
        <f t="shared" si="15"/>
        <v>866919.25</v>
      </c>
      <c r="N21" s="503">
        <f t="shared" si="15"/>
        <v>1390772.5194999997</v>
      </c>
      <c r="O21" s="53">
        <f t="shared" si="14"/>
        <v>0</v>
      </c>
      <c r="P21" s="53">
        <f>P251</f>
        <v>0</v>
      </c>
      <c r="Q21" s="18">
        <f>Q251</f>
        <v>1390772.5194999997</v>
      </c>
      <c r="T21" s="53"/>
    </row>
    <row r="22" spans="1:24">
      <c r="A22" s="49" t="str">
        <f>A254</f>
        <v>INDIAN HILLS GID</v>
      </c>
      <c r="B22" s="48">
        <f t="shared" ref="B22:Q22" si="16">B263</f>
        <v>0.79010000000000002</v>
      </c>
      <c r="C22" s="48">
        <f t="shared" si="16"/>
        <v>0</v>
      </c>
      <c r="D22" s="43">
        <f t="shared" si="16"/>
        <v>1848</v>
      </c>
      <c r="E22" s="173"/>
      <c r="F22" s="413">
        <f t="shared" si="16"/>
        <v>187428253.27796102</v>
      </c>
      <c r="G22" s="53">
        <f t="shared" si="16"/>
        <v>3499.6899999999996</v>
      </c>
      <c r="H22" s="53">
        <f t="shared" si="16"/>
        <v>1472981.509421</v>
      </c>
      <c r="I22" s="53">
        <f t="shared" si="16"/>
        <v>0</v>
      </c>
      <c r="J22" s="53">
        <f t="shared" si="16"/>
        <v>6884.1500000000005</v>
      </c>
      <c r="K22" s="53">
        <f t="shared" si="16"/>
        <v>159.85</v>
      </c>
      <c r="L22" s="53">
        <f t="shared" si="16"/>
        <v>1469756.8994210002</v>
      </c>
      <c r="M22" s="53">
        <f t="shared" si="16"/>
        <v>185046.01</v>
      </c>
      <c r="N22" s="53">
        <f t="shared" si="16"/>
        <v>1284710.8894210001</v>
      </c>
      <c r="O22" s="53">
        <f t="shared" si="16"/>
        <v>0</v>
      </c>
      <c r="P22" s="53">
        <f>P263</f>
        <v>0</v>
      </c>
      <c r="Q22" s="53">
        <f t="shared" si="16"/>
        <v>1284710.8894210001</v>
      </c>
      <c r="T22" s="53"/>
    </row>
    <row r="23" spans="1:24">
      <c r="A23" s="49" t="str">
        <f>A266</f>
        <v>KINGSBURY GID</v>
      </c>
      <c r="B23" s="48">
        <f>+B268</f>
        <v>0.63690000000000002</v>
      </c>
      <c r="C23" s="48">
        <f t="shared" ref="C23:Q23" si="17">C275</f>
        <v>0</v>
      </c>
      <c r="D23" s="43">
        <f t="shared" si="17"/>
        <v>2291</v>
      </c>
      <c r="E23" s="173"/>
      <c r="F23" s="413">
        <f t="shared" si="17"/>
        <v>341965801.43564296</v>
      </c>
      <c r="G23" s="53">
        <f t="shared" si="17"/>
        <v>21096.002968000001</v>
      </c>
      <c r="H23" s="53">
        <f t="shared" si="17"/>
        <v>2169532.2757230001</v>
      </c>
      <c r="I23" s="53">
        <f t="shared" si="17"/>
        <v>0</v>
      </c>
      <c r="J23" s="53">
        <f t="shared" si="17"/>
        <v>13054.519999999999</v>
      </c>
      <c r="K23" s="53">
        <f t="shared" si="17"/>
        <v>17.21</v>
      </c>
      <c r="L23" s="53">
        <f t="shared" si="17"/>
        <v>2177590.9686909998</v>
      </c>
      <c r="M23" s="53">
        <f t="shared" si="17"/>
        <v>809253.03</v>
      </c>
      <c r="N23" s="53">
        <f t="shared" si="17"/>
        <v>1368337.9386909998</v>
      </c>
      <c r="O23" s="53">
        <f t="shared" si="17"/>
        <v>0</v>
      </c>
      <c r="P23" s="53">
        <f>P275</f>
        <v>0</v>
      </c>
      <c r="Q23" s="53">
        <f t="shared" si="17"/>
        <v>1368337.9386909998</v>
      </c>
      <c r="T23" s="53"/>
    </row>
    <row r="24" spans="1:24">
      <c r="A24" s="49" t="str">
        <f>A278</f>
        <v>LAKERIDGE GID</v>
      </c>
      <c r="B24" s="48">
        <f t="shared" ref="B24:Q24" si="18">B287</f>
        <v>0.17030000000000001</v>
      </c>
      <c r="C24" s="48">
        <f t="shared" si="18"/>
        <v>0</v>
      </c>
      <c r="D24" s="43">
        <f t="shared" si="18"/>
        <v>80</v>
      </c>
      <c r="E24" s="173"/>
      <c r="F24" s="413">
        <f t="shared" si="18"/>
        <v>39046630.350000001</v>
      </c>
      <c r="G24" s="53">
        <f t="shared" si="18"/>
        <v>624.21972000000005</v>
      </c>
      <c r="H24" s="53">
        <f t="shared" si="18"/>
        <v>65843.380206000002</v>
      </c>
      <c r="I24" s="53">
        <f t="shared" si="18"/>
        <v>0</v>
      </c>
      <c r="J24" s="53">
        <f t="shared" si="18"/>
        <v>84.86</v>
      </c>
      <c r="K24" s="53">
        <f t="shared" si="18"/>
        <v>0</v>
      </c>
      <c r="L24" s="53">
        <f t="shared" si="18"/>
        <v>66382.739925999995</v>
      </c>
      <c r="M24" s="53">
        <f t="shared" si="18"/>
        <v>19990.52</v>
      </c>
      <c r="N24" s="53">
        <f t="shared" si="18"/>
        <v>46392.219925999998</v>
      </c>
      <c r="O24" s="53">
        <f t="shared" si="18"/>
        <v>0</v>
      </c>
      <c r="P24" s="53">
        <f>P287</f>
        <v>0</v>
      </c>
      <c r="Q24" s="53">
        <f t="shared" si="18"/>
        <v>46392.219925999998</v>
      </c>
      <c r="T24" s="53"/>
    </row>
    <row r="25" spans="1:24">
      <c r="A25" s="49" t="str">
        <f>A290</f>
        <v>LOGAN CREEK GID</v>
      </c>
      <c r="B25" s="48">
        <f t="shared" ref="B25:Q25" si="19">B299</f>
        <v>0.72860000000000003</v>
      </c>
      <c r="C25" s="48">
        <f t="shared" si="19"/>
        <v>0</v>
      </c>
      <c r="D25" s="43">
        <f t="shared" si="19"/>
        <v>23</v>
      </c>
      <c r="E25" s="173"/>
      <c r="F25" s="413">
        <f t="shared" si="19"/>
        <v>8891960.0499999989</v>
      </c>
      <c r="G25" s="53">
        <f t="shared" si="19"/>
        <v>126.87973600000001</v>
      </c>
      <c r="H25" s="53">
        <f t="shared" si="19"/>
        <v>64660.08</v>
      </c>
      <c r="I25" s="53">
        <f t="shared" si="19"/>
        <v>0</v>
      </c>
      <c r="J25" s="53">
        <f t="shared" si="19"/>
        <v>17.670000000000002</v>
      </c>
      <c r="K25" s="53">
        <f t="shared" si="19"/>
        <v>0</v>
      </c>
      <c r="L25" s="53">
        <f t="shared" si="19"/>
        <v>64769.289736000006</v>
      </c>
      <c r="M25" s="53">
        <f t="shared" si="19"/>
        <v>8937.35</v>
      </c>
      <c r="N25" s="53">
        <f t="shared" si="19"/>
        <v>55831.939736000008</v>
      </c>
      <c r="O25" s="53">
        <f t="shared" si="19"/>
        <v>0</v>
      </c>
      <c r="P25" s="53">
        <f>P299</f>
        <v>0</v>
      </c>
      <c r="Q25" s="53">
        <f t="shared" si="19"/>
        <v>55831.939736000008</v>
      </c>
      <c r="T25" s="53"/>
    </row>
    <row r="26" spans="1:24">
      <c r="A26" s="49" t="str">
        <f>A302</f>
        <v>MINDEN-GARDNERVILLE SANITATION</v>
      </c>
      <c r="B26" s="48">
        <f t="shared" ref="B26:Q26" si="20">B311</f>
        <v>0.12239999999999999</v>
      </c>
      <c r="C26" s="48">
        <f t="shared" si="20"/>
        <v>0</v>
      </c>
      <c r="D26" s="43">
        <f t="shared" si="20"/>
        <v>4531</v>
      </c>
      <c r="E26" s="173"/>
      <c r="F26" s="413">
        <f t="shared" si="20"/>
        <v>610255002.59647059</v>
      </c>
      <c r="G26" s="53">
        <f t="shared" si="20"/>
        <v>28071.626927999998</v>
      </c>
      <c r="H26" s="53">
        <f t="shared" si="20"/>
        <v>721947.787472</v>
      </c>
      <c r="I26" s="53">
        <f t="shared" si="20"/>
        <v>0</v>
      </c>
      <c r="J26" s="53">
        <f t="shared" si="20"/>
        <v>3250.0899999999997</v>
      </c>
      <c r="K26" s="53">
        <f t="shared" si="20"/>
        <v>6.57</v>
      </c>
      <c r="L26" s="53">
        <f t="shared" si="20"/>
        <v>746775.89439999987</v>
      </c>
      <c r="M26" s="53">
        <f t="shared" si="20"/>
        <v>67737.75</v>
      </c>
      <c r="N26" s="53">
        <f t="shared" si="20"/>
        <v>679038.14439999999</v>
      </c>
      <c r="O26" s="53">
        <f t="shared" si="20"/>
        <v>0</v>
      </c>
      <c r="P26" s="53">
        <f>P311</f>
        <v>0</v>
      </c>
      <c r="Q26" s="53">
        <f t="shared" si="20"/>
        <v>679038.14439999999</v>
      </c>
      <c r="T26" s="53"/>
    </row>
    <row r="27" spans="1:24">
      <c r="A27" s="49" t="str">
        <f>A314</f>
        <v>OLIVER PARK</v>
      </c>
      <c r="B27" s="48">
        <f t="shared" ref="B27:Q27" si="21">B323</f>
        <v>0.83389999999999997</v>
      </c>
      <c r="C27" s="48">
        <f t="shared" si="21"/>
        <v>0</v>
      </c>
      <c r="D27" s="43">
        <f t="shared" si="21"/>
        <v>184</v>
      </c>
      <c r="E27" s="173"/>
      <c r="F27" s="413">
        <f t="shared" si="21"/>
        <v>95110006.439999998</v>
      </c>
      <c r="G27" s="53">
        <f t="shared" si="21"/>
        <v>74375.184013000006</v>
      </c>
      <c r="H27" s="53">
        <f t="shared" si="21"/>
        <v>560295.18683299993</v>
      </c>
      <c r="I27" s="53">
        <f t="shared" si="21"/>
        <v>0</v>
      </c>
      <c r="J27" s="53">
        <f t="shared" si="21"/>
        <v>56.87</v>
      </c>
      <c r="K27" s="53">
        <f t="shared" si="21"/>
        <v>0</v>
      </c>
      <c r="L27" s="53">
        <f t="shared" si="21"/>
        <v>634613.50084600004</v>
      </c>
      <c r="M27" s="53">
        <f t="shared" si="21"/>
        <v>22913.040000000001</v>
      </c>
      <c r="N27" s="53">
        <f t="shared" si="21"/>
        <v>611700.46084599989</v>
      </c>
      <c r="O27" s="53">
        <f t="shared" si="21"/>
        <v>456440.14</v>
      </c>
      <c r="P27" s="53">
        <f>P323</f>
        <v>0</v>
      </c>
      <c r="Q27" s="53">
        <f t="shared" si="21"/>
        <v>155260.3208459999</v>
      </c>
      <c r="T27" s="53"/>
    </row>
    <row r="28" spans="1:24">
      <c r="A28" s="49" t="str">
        <f>A326</f>
        <v>ROUND HILL GID</v>
      </c>
      <c r="B28" s="48">
        <f t="shared" ref="B28:Q28" si="22">B335</f>
        <v>0.57740000000000002</v>
      </c>
      <c r="C28" s="48">
        <f t="shared" si="22"/>
        <v>0</v>
      </c>
      <c r="D28" s="43">
        <f t="shared" si="22"/>
        <v>567</v>
      </c>
      <c r="E28" s="173"/>
      <c r="F28" s="413">
        <f t="shared" si="22"/>
        <v>144679386.28</v>
      </c>
      <c r="G28" s="53">
        <f t="shared" si="22"/>
        <v>3455.2137560000001</v>
      </c>
      <c r="H28" s="53">
        <f t="shared" si="22"/>
        <v>832344.68345600006</v>
      </c>
      <c r="I28" s="53">
        <f t="shared" si="22"/>
        <v>0</v>
      </c>
      <c r="J28" s="53">
        <f t="shared" si="22"/>
        <v>403.18</v>
      </c>
      <c r="K28" s="53">
        <f t="shared" si="22"/>
        <v>0</v>
      </c>
      <c r="L28" s="53">
        <f>L335</f>
        <v>835396.71721200005</v>
      </c>
      <c r="M28" s="53">
        <f t="shared" si="22"/>
        <v>499220.94999999995</v>
      </c>
      <c r="N28" s="53">
        <f>N335</f>
        <v>336175.76721200004</v>
      </c>
      <c r="O28" s="53">
        <f t="shared" si="22"/>
        <v>0</v>
      </c>
      <c r="P28" s="53">
        <f>P335</f>
        <v>0</v>
      </c>
      <c r="Q28" s="53">
        <f t="shared" si="22"/>
        <v>336175.76721200004</v>
      </c>
      <c r="T28" s="53"/>
    </row>
    <row r="29" spans="1:24">
      <c r="A29" s="49" t="str">
        <f>A338</f>
        <v>SKYLAND GID</v>
      </c>
      <c r="B29" s="48">
        <f>B347</f>
        <v>0.2903</v>
      </c>
      <c r="C29" s="48">
        <f t="shared" ref="C29:Q29" si="23">C347</f>
        <v>0</v>
      </c>
      <c r="D29" s="43">
        <f t="shared" si="23"/>
        <v>233</v>
      </c>
      <c r="E29" s="173"/>
      <c r="F29" s="413">
        <f t="shared" si="23"/>
        <v>121574634.95839821</v>
      </c>
      <c r="G29" s="53">
        <f t="shared" si="23"/>
        <v>2632.9496179999996</v>
      </c>
      <c r="H29" s="53">
        <f t="shared" si="23"/>
        <v>350304.42784299998</v>
      </c>
      <c r="I29" s="53">
        <f t="shared" si="23"/>
        <v>0</v>
      </c>
      <c r="J29" s="53">
        <f t="shared" si="23"/>
        <v>59.629999999999995</v>
      </c>
      <c r="K29" s="53">
        <f t="shared" si="23"/>
        <v>0</v>
      </c>
      <c r="L29" s="53">
        <f t="shared" si="23"/>
        <v>352877.74746100005</v>
      </c>
      <c r="M29" s="53">
        <f t="shared" si="23"/>
        <v>235344.21000000002</v>
      </c>
      <c r="N29" s="53">
        <f t="shared" si="23"/>
        <v>117533.53746099997</v>
      </c>
      <c r="O29" s="53">
        <f t="shared" si="23"/>
        <v>0</v>
      </c>
      <c r="P29" s="53">
        <f>P347</f>
        <v>0</v>
      </c>
      <c r="Q29" s="53">
        <f t="shared" si="23"/>
        <v>117533.53746099997</v>
      </c>
      <c r="T29" s="53"/>
    </row>
    <row r="30" spans="1:24">
      <c r="A30" s="49" t="str">
        <f>A350</f>
        <v>TAHOE-DOUGLAS FIRE PROTECTION DISTRICT</v>
      </c>
      <c r="B30" s="48">
        <f>B352</f>
        <v>0.6381</v>
      </c>
      <c r="C30" s="48">
        <f t="shared" ref="C30:Q30" si="24">C359</f>
        <v>0.05</v>
      </c>
      <c r="D30" s="43">
        <f t="shared" si="24"/>
        <v>5237</v>
      </c>
      <c r="E30" s="173"/>
      <c r="F30" s="413">
        <f t="shared" si="24"/>
        <v>1784362579.3929918</v>
      </c>
      <c r="G30" s="53">
        <f t="shared" si="24"/>
        <v>215301.89090950415</v>
      </c>
      <c r="H30" s="53">
        <f t="shared" si="24"/>
        <v>10139796.335409999</v>
      </c>
      <c r="I30" s="53">
        <f t="shared" si="24"/>
        <v>882282.62755649595</v>
      </c>
      <c r="J30" s="53">
        <f t="shared" si="24"/>
        <v>30624.579999999998</v>
      </c>
      <c r="K30" s="53">
        <f t="shared" si="24"/>
        <v>382.63</v>
      </c>
      <c r="L30" s="53">
        <f t="shared" si="24"/>
        <v>11207138.903875999</v>
      </c>
      <c r="M30" s="53">
        <f t="shared" si="24"/>
        <v>1985798.41</v>
      </c>
      <c r="N30" s="53">
        <f t="shared" si="24"/>
        <v>9221340.493875999</v>
      </c>
      <c r="O30" s="53">
        <f t="shared" si="24"/>
        <v>706284.49999999988</v>
      </c>
      <c r="P30" s="53">
        <f>P359</f>
        <v>0</v>
      </c>
      <c r="Q30" s="53">
        <f t="shared" si="24"/>
        <v>8515055.993875999</v>
      </c>
      <c r="T30" s="53"/>
    </row>
    <row r="31" spans="1:24">
      <c r="A31" s="49" t="str">
        <f>A362</f>
        <v>TAHOE-DOUGLAS SEWER DISTRICT</v>
      </c>
      <c r="B31" s="48">
        <f t="shared" ref="B31:Q31" si="25">B371</f>
        <v>3.5000000000000003E-2</v>
      </c>
      <c r="C31" s="48">
        <f t="shared" si="25"/>
        <v>0</v>
      </c>
      <c r="D31" s="43">
        <f t="shared" si="25"/>
        <v>1556</v>
      </c>
      <c r="E31" s="173"/>
      <c r="F31" s="413">
        <f t="shared" si="25"/>
        <v>899104837.74000001</v>
      </c>
      <c r="G31" s="53">
        <f t="shared" si="25"/>
        <v>2607.9001500000004</v>
      </c>
      <c r="H31" s="53">
        <f t="shared" si="25"/>
        <v>312168.88449999999</v>
      </c>
      <c r="I31" s="53">
        <f t="shared" si="25"/>
        <v>0</v>
      </c>
      <c r="J31" s="53">
        <f t="shared" si="25"/>
        <v>150.37</v>
      </c>
      <c r="K31" s="53">
        <f t="shared" si="25"/>
        <v>6.75</v>
      </c>
      <c r="L31" s="53">
        <f t="shared" si="25"/>
        <v>314633.16464999999</v>
      </c>
      <c r="M31" s="53">
        <f t="shared" si="25"/>
        <v>54790.36</v>
      </c>
      <c r="N31" s="53">
        <f t="shared" si="25"/>
        <v>259842.80464999998</v>
      </c>
      <c r="O31" s="53">
        <f>O371</f>
        <v>6.4799999999999995</v>
      </c>
      <c r="P31" s="53">
        <f>P371</f>
        <v>0</v>
      </c>
      <c r="Q31" s="53">
        <f t="shared" si="25"/>
        <v>259836.32464999994</v>
      </c>
      <c r="T31" s="53"/>
    </row>
    <row r="32" spans="1:24">
      <c r="A32" s="49" t="str">
        <f>A374</f>
        <v>TOPAZ RANCH ESTATES GID</v>
      </c>
      <c r="B32" s="48">
        <f t="shared" ref="B32:Q32" si="26">B383</f>
        <v>0.85460000000000003</v>
      </c>
      <c r="C32" s="48">
        <f t="shared" si="26"/>
        <v>0</v>
      </c>
      <c r="D32" s="43">
        <f t="shared" si="26"/>
        <v>866</v>
      </c>
      <c r="E32" s="173"/>
      <c r="F32" s="413">
        <f t="shared" si="26"/>
        <v>42709313.386599578</v>
      </c>
      <c r="G32" s="53">
        <f t="shared" si="26"/>
        <v>6876.9998219999998</v>
      </c>
      <c r="H32" s="53">
        <f t="shared" si="26"/>
        <v>361450.21719400003</v>
      </c>
      <c r="I32" s="53">
        <f t="shared" si="26"/>
        <v>0</v>
      </c>
      <c r="J32" s="53">
        <f t="shared" si="26"/>
        <v>3893.7</v>
      </c>
      <c r="K32" s="53">
        <f t="shared" si="26"/>
        <v>0</v>
      </c>
      <c r="L32" s="53">
        <f t="shared" si="26"/>
        <v>364433.517016</v>
      </c>
      <c r="M32" s="53">
        <f t="shared" si="26"/>
        <v>94797.14</v>
      </c>
      <c r="N32" s="53">
        <f t="shared" si="26"/>
        <v>269636.37701599998</v>
      </c>
      <c r="O32" s="53">
        <f t="shared" si="26"/>
        <v>0</v>
      </c>
      <c r="P32" s="53">
        <f>P383</f>
        <v>0</v>
      </c>
      <c r="Q32" s="53">
        <f t="shared" si="26"/>
        <v>269636.37701599998</v>
      </c>
      <c r="T32" s="53"/>
    </row>
    <row r="33" spans="1:20">
      <c r="A33" s="49" t="str">
        <f>A386</f>
        <v>ZEPHYR COVE GID</v>
      </c>
      <c r="B33" s="48">
        <f t="shared" ref="B33:Q33" si="27">B395</f>
        <v>0.1</v>
      </c>
      <c r="C33" s="48">
        <f t="shared" si="27"/>
        <v>0</v>
      </c>
      <c r="D33" s="43">
        <f t="shared" si="27"/>
        <v>78</v>
      </c>
      <c r="E33" s="173"/>
      <c r="F33" s="413">
        <f t="shared" si="27"/>
        <v>43342201.130000003</v>
      </c>
      <c r="G33" s="53">
        <f t="shared" si="27"/>
        <v>510.71100000000007</v>
      </c>
      <c r="H33" s="53">
        <f t="shared" si="27"/>
        <v>42831.5</v>
      </c>
      <c r="I33" s="53">
        <f t="shared" si="27"/>
        <v>0</v>
      </c>
      <c r="J33" s="53">
        <f t="shared" si="27"/>
        <v>3.86</v>
      </c>
      <c r="K33" s="53">
        <f t="shared" si="27"/>
        <v>0</v>
      </c>
      <c r="L33" s="53">
        <f t="shared" si="27"/>
        <v>43338.351000000002</v>
      </c>
      <c r="M33" s="53">
        <f t="shared" si="27"/>
        <v>10287.17</v>
      </c>
      <c r="N33" s="53">
        <f t="shared" si="27"/>
        <v>33051.181000000004</v>
      </c>
      <c r="O33" s="53">
        <f t="shared" si="27"/>
        <v>0</v>
      </c>
      <c r="P33" s="53">
        <f>P395</f>
        <v>0</v>
      </c>
      <c r="Q33" s="53">
        <f t="shared" si="27"/>
        <v>33051.181000000004</v>
      </c>
      <c r="T33" s="53"/>
    </row>
    <row r="34" spans="1:20">
      <c r="A34" s="49" t="str">
        <f>A398</f>
        <v>ZEPHYR HEIGHTS</v>
      </c>
      <c r="B34" s="48">
        <f t="shared" ref="B34:Q34" si="28">B407</f>
        <v>0.27979999999999999</v>
      </c>
      <c r="C34" s="48">
        <f t="shared" si="28"/>
        <v>0</v>
      </c>
      <c r="D34" s="43">
        <f t="shared" si="28"/>
        <v>228</v>
      </c>
      <c r="E34" s="173"/>
      <c r="F34" s="413">
        <f t="shared" si="28"/>
        <v>56403183.920000002</v>
      </c>
      <c r="G34" s="53">
        <f t="shared" si="28"/>
        <v>652.351764</v>
      </c>
      <c r="H34" s="53">
        <f t="shared" si="28"/>
        <v>157545.393232</v>
      </c>
      <c r="I34" s="53">
        <f t="shared" si="28"/>
        <v>0</v>
      </c>
      <c r="J34" s="53">
        <f t="shared" si="28"/>
        <v>408.31</v>
      </c>
      <c r="K34" s="53">
        <f t="shared" si="28"/>
        <v>53.98</v>
      </c>
      <c r="L34" s="53">
        <f t="shared" si="28"/>
        <v>157843.41499600001</v>
      </c>
      <c r="M34" s="53">
        <f t="shared" si="28"/>
        <v>23208.300000000003</v>
      </c>
      <c r="N34" s="53">
        <f t="shared" si="28"/>
        <v>134635.11499600002</v>
      </c>
      <c r="O34" s="53">
        <f t="shared" si="28"/>
        <v>0</v>
      </c>
      <c r="P34" s="53">
        <f>P407</f>
        <v>0</v>
      </c>
      <c r="Q34" s="53">
        <f t="shared" si="28"/>
        <v>134635.11499600002</v>
      </c>
      <c r="S34" s="53"/>
      <c r="T34" s="53"/>
    </row>
    <row r="35" spans="1:20">
      <c r="A35" s="49" t="str">
        <f>A410</f>
        <v>ZEPHYR KNOLLS</v>
      </c>
      <c r="B35" s="48">
        <f>+B412</f>
        <v>0.54269999999999996</v>
      </c>
      <c r="C35" s="48">
        <f t="shared" ref="C35:Q35" si="29">C419</f>
        <v>0</v>
      </c>
      <c r="D35" s="43">
        <f t="shared" si="29"/>
        <v>65</v>
      </c>
      <c r="E35" s="173"/>
      <c r="F35" s="413">
        <f t="shared" si="29"/>
        <v>12327869.18</v>
      </c>
      <c r="G35" s="53">
        <f t="shared" si="29"/>
        <v>357.43759499999999</v>
      </c>
      <c r="H35" s="53">
        <f t="shared" si="29"/>
        <v>66545.725656999988</v>
      </c>
      <c r="I35" s="53">
        <f t="shared" si="29"/>
        <v>0</v>
      </c>
      <c r="J35" s="53">
        <f t="shared" si="29"/>
        <v>15.24</v>
      </c>
      <c r="K35" s="53">
        <f t="shared" si="29"/>
        <v>0</v>
      </c>
      <c r="L35" s="53">
        <f t="shared" si="29"/>
        <v>66887.923251999979</v>
      </c>
      <c r="M35" s="53">
        <f t="shared" si="29"/>
        <v>8685.64</v>
      </c>
      <c r="N35" s="53">
        <f t="shared" si="29"/>
        <v>58202.283251999994</v>
      </c>
      <c r="O35" s="53">
        <f t="shared" si="29"/>
        <v>0</v>
      </c>
      <c r="P35" s="53">
        <f>P419</f>
        <v>0</v>
      </c>
      <c r="Q35" s="53">
        <f t="shared" si="29"/>
        <v>58202.283251999994</v>
      </c>
      <c r="T35" s="53"/>
    </row>
    <row r="36" spans="1:20">
      <c r="A36" s="57"/>
      <c r="B36" s="51"/>
      <c r="C36" s="51"/>
      <c r="D36" s="52"/>
      <c r="E36" s="203"/>
      <c r="F36" s="384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T36" s="53"/>
    </row>
    <row r="37" spans="1:20" ht="13.5" thickBot="1">
      <c r="A37" s="57" t="s">
        <v>14</v>
      </c>
      <c r="B37" s="51"/>
      <c r="C37" s="51"/>
      <c r="D37" s="69">
        <f>D7</f>
        <v>27985</v>
      </c>
      <c r="E37" s="204"/>
      <c r="F37" s="414">
        <f>F7</f>
        <v>5214250659.2494116</v>
      </c>
      <c r="G37" s="70">
        <f t="shared" ref="G37:O37" si="30">SUM(G7:G36)</f>
        <v>4876704.856466502</v>
      </c>
      <c r="H37" s="70">
        <f t="shared" si="30"/>
        <v>156837524.05448201</v>
      </c>
      <c r="I37" s="70">
        <f t="shared" si="30"/>
        <v>882282.62755649595</v>
      </c>
      <c r="J37" s="70">
        <f t="shared" si="30"/>
        <v>635978.97999999986</v>
      </c>
      <c r="K37" s="70">
        <f t="shared" si="30"/>
        <v>3797.6700000000005</v>
      </c>
      <c r="L37" s="70">
        <f t="shared" si="30"/>
        <v>161964330.22850499</v>
      </c>
      <c r="M37" s="70">
        <f t="shared" si="30"/>
        <v>25652968.230000008</v>
      </c>
      <c r="N37" s="70">
        <f>SUM(N7:N36)</f>
        <v>136311361.99850503</v>
      </c>
      <c r="O37" s="70">
        <f t="shared" si="30"/>
        <v>3655327.12</v>
      </c>
      <c r="P37" s="70">
        <f>SUM(P7:P36)</f>
        <v>0</v>
      </c>
      <c r="Q37" s="70">
        <f>SUM(Q7:Q36)</f>
        <v>132656034.87850499</v>
      </c>
      <c r="S37" s="53">
        <f>SUM(Q44,Q69,Q88,Q100,Q114,Q126,Q138,Q150,Q174,Q198,Q210,Q222,Q234,Q246,Q258,Q270,Q294,Q306,Q318,Q342,Q354,Q366,Q378,Q390,Q402,Q414)</f>
        <v>2516099.9703199998</v>
      </c>
      <c r="T37" s="53" t="e">
        <v>#DIV/0!</v>
      </c>
    </row>
    <row r="38" spans="1:20" ht="13.5" thickBot="1">
      <c r="A38" s="60"/>
      <c r="B38" s="61"/>
      <c r="C38" s="61"/>
      <c r="D38" s="62"/>
      <c r="E38" s="215"/>
      <c r="F38" s="415"/>
      <c r="G38" s="63"/>
      <c r="H38" s="63"/>
      <c r="I38" s="63"/>
      <c r="J38" s="63"/>
      <c r="K38" s="63"/>
      <c r="L38" s="279" t="s">
        <v>388</v>
      </c>
      <c r="M38" s="280">
        <f>M37/L37</f>
        <v>0.15838652988474619</v>
      </c>
      <c r="N38" s="63"/>
      <c r="O38" s="63"/>
      <c r="P38" s="63"/>
      <c r="Q38" s="63"/>
    </row>
    <row r="39" spans="1:20">
      <c r="A39" s="50"/>
      <c r="B39" s="51"/>
      <c r="C39" s="51"/>
      <c r="D39" s="52"/>
      <c r="E39" s="203"/>
      <c r="F39" s="27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S39" s="53"/>
      <c r="T39" s="53"/>
    </row>
    <row r="40" spans="1:20">
      <c r="A40" s="54" t="s">
        <v>11</v>
      </c>
      <c r="B40" s="51"/>
      <c r="C40" s="51"/>
      <c r="D40" s="52"/>
      <c r="E40" s="203"/>
      <c r="F40" s="411"/>
      <c r="G40" s="64"/>
      <c r="H40" s="53"/>
      <c r="I40" s="53"/>
      <c r="J40" s="53"/>
      <c r="K40" s="53"/>
      <c r="L40" s="53"/>
      <c r="M40" s="53"/>
      <c r="N40" s="53"/>
      <c r="O40" s="53"/>
      <c r="P40" s="53"/>
      <c r="Q40" s="53"/>
      <c r="T40" s="53"/>
    </row>
    <row r="41" spans="1:20">
      <c r="A41" s="47"/>
      <c r="B41" s="48"/>
      <c r="C41" s="48"/>
      <c r="E41" s="65">
        <v>139805487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T41" s="53"/>
    </row>
    <row r="42" spans="1:20">
      <c r="A42" s="49" t="s">
        <v>15</v>
      </c>
      <c r="B42" s="48">
        <v>0.17</v>
      </c>
      <c r="C42" s="48">
        <v>0</v>
      </c>
      <c r="D42" s="43">
        <v>27985</v>
      </c>
      <c r="E42" s="173">
        <f>G42/B42*100</f>
        <v>28382676.470588233</v>
      </c>
      <c r="F42" s="412">
        <v>4945896406</v>
      </c>
      <c r="G42" s="53">
        <v>48250.55</v>
      </c>
      <c r="H42" s="53">
        <v>8342913.3700000001</v>
      </c>
      <c r="I42" s="53">
        <v>0</v>
      </c>
      <c r="J42" s="53">
        <v>30230.55</v>
      </c>
      <c r="K42" s="53">
        <v>214.2</v>
      </c>
      <c r="L42" s="53">
        <f>G42+H42+I42-J42+K42</f>
        <v>8361147.5700000003</v>
      </c>
      <c r="M42" s="53">
        <v>1013469.98</v>
      </c>
      <c r="N42" s="53">
        <f>L42-M42</f>
        <v>7347677.5899999999</v>
      </c>
      <c r="O42" s="331">
        <v>189142.36</v>
      </c>
      <c r="P42" s="53">
        <v>0</v>
      </c>
      <c r="Q42" s="53">
        <f>N42-O42-P42</f>
        <v>7158535.2299999995</v>
      </c>
    </row>
    <row r="43" spans="1:20">
      <c r="A43" s="47" t="s">
        <v>16</v>
      </c>
      <c r="B43" s="48">
        <f>B$42</f>
        <v>0.17</v>
      </c>
      <c r="C43" s="48">
        <f>C$42</f>
        <v>0</v>
      </c>
      <c r="E43" s="173">
        <v>26497667</v>
      </c>
      <c r="F43" s="416">
        <f>IF(E41&gt;E42,E41-E42,0)</f>
        <v>111422810.52941176</v>
      </c>
      <c r="G43" s="53">
        <f>F43*(B43-C43)/100</f>
        <v>189418.77790000002</v>
      </c>
      <c r="H43" s="53"/>
      <c r="I43" s="53">
        <f>F43*C43/100</f>
        <v>0</v>
      </c>
      <c r="J43" s="53"/>
      <c r="K43" s="53"/>
      <c r="L43" s="53">
        <f>G43+H43+I43-J43+K43</f>
        <v>189418.77790000002</v>
      </c>
      <c r="M43" s="53"/>
      <c r="N43" s="53">
        <f>L43-M43</f>
        <v>189418.77790000002</v>
      </c>
      <c r="O43" s="53"/>
      <c r="P43" s="53"/>
      <c r="Q43" s="53">
        <f>N43-O43-P43</f>
        <v>189418.77790000002</v>
      </c>
    </row>
    <row r="44" spans="1:20">
      <c r="A44" s="47" t="s">
        <v>17</v>
      </c>
      <c r="B44" s="48">
        <f t="shared" ref="B44:C47" si="31">B$42</f>
        <v>0.17</v>
      </c>
      <c r="C44" s="48">
        <f t="shared" si="31"/>
        <v>0</v>
      </c>
      <c r="E44" s="173"/>
      <c r="F44" s="417">
        <v>82598810</v>
      </c>
      <c r="G44" s="53"/>
      <c r="H44" s="53">
        <f>F44*(B44-C44)/100</f>
        <v>140417.97700000001</v>
      </c>
      <c r="I44" s="53">
        <f>F44*C44/100</f>
        <v>0</v>
      </c>
      <c r="J44" s="53">
        <v>0</v>
      </c>
      <c r="K44" s="53">
        <v>0</v>
      </c>
      <c r="L44" s="53">
        <f>G44+H44+I44-J44+K44</f>
        <v>140417.97700000001</v>
      </c>
      <c r="M44" s="53">
        <v>0</v>
      </c>
      <c r="N44" s="53">
        <f>L44-M44</f>
        <v>140417.97700000001</v>
      </c>
      <c r="O44" s="53">
        <v>0</v>
      </c>
      <c r="P44" s="53">
        <v>0</v>
      </c>
      <c r="Q44" s="53">
        <f>N44-O44-P44</f>
        <v>140417.97700000001</v>
      </c>
    </row>
    <row r="45" spans="1:20">
      <c r="A45" s="47" t="s">
        <v>18</v>
      </c>
      <c r="B45" s="48"/>
      <c r="C45" s="48"/>
      <c r="E45" s="173"/>
      <c r="F45" s="41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1:20">
      <c r="A46" s="67" t="s">
        <v>19</v>
      </c>
      <c r="B46" s="48">
        <f t="shared" si="31"/>
        <v>0.17</v>
      </c>
      <c r="C46" s="48">
        <f t="shared" si="31"/>
        <v>0</v>
      </c>
      <c r="E46" s="173"/>
      <c r="F46" s="413">
        <v>62453748.93</v>
      </c>
      <c r="G46" s="53">
        <v>13206.78</v>
      </c>
      <c r="H46" s="53">
        <v>96942.35</v>
      </c>
      <c r="I46" s="53">
        <v>0</v>
      </c>
      <c r="J46" s="53">
        <v>3977.77</v>
      </c>
      <c r="K46" s="53">
        <v>0</v>
      </c>
      <c r="L46" s="53">
        <f>G46+H46+I46-J46+K46</f>
        <v>106171.36</v>
      </c>
      <c r="M46" s="53">
        <v>6395.07</v>
      </c>
      <c r="N46" s="53">
        <f>L46-M46</f>
        <v>99776.290000000008</v>
      </c>
      <c r="O46" s="53">
        <v>16.36</v>
      </c>
      <c r="P46" s="53">
        <v>0</v>
      </c>
      <c r="Q46" s="53">
        <f>N46-O46-P46</f>
        <v>99759.930000000008</v>
      </c>
    </row>
    <row r="47" spans="1:20">
      <c r="A47" s="67" t="s">
        <v>20</v>
      </c>
      <c r="B47" s="48">
        <f t="shared" si="31"/>
        <v>0.17</v>
      </c>
      <c r="C47" s="48">
        <f t="shared" si="31"/>
        <v>0</v>
      </c>
      <c r="E47" s="173"/>
      <c r="F47" s="413">
        <v>11878883.789999999</v>
      </c>
      <c r="G47" s="53">
        <v>20180.41</v>
      </c>
      <c r="H47" s="53">
        <v>13.78</v>
      </c>
      <c r="I47" s="53">
        <v>0</v>
      </c>
      <c r="J47" s="53"/>
      <c r="K47" s="53">
        <v>0</v>
      </c>
      <c r="L47" s="53">
        <f>G47+H47+I47-J47+K47</f>
        <v>20194.189999999999</v>
      </c>
      <c r="M47" s="53">
        <v>0</v>
      </c>
      <c r="N47" s="53">
        <f>L47-M47</f>
        <v>20194.189999999999</v>
      </c>
      <c r="O47" s="53">
        <v>0</v>
      </c>
      <c r="P47" s="53">
        <v>0</v>
      </c>
      <c r="Q47" s="53">
        <f>N47-O47-P47</f>
        <v>20194.189999999999</v>
      </c>
    </row>
    <row r="48" spans="1:20">
      <c r="A48" s="47"/>
      <c r="B48" s="48"/>
      <c r="C48" s="48"/>
      <c r="E48" s="173"/>
      <c r="F48" s="41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T48" s="53"/>
    </row>
    <row r="49" spans="1:22" s="50" customFormat="1" ht="13.5" thickBot="1">
      <c r="A49" s="60" t="str">
        <f>"TOTAL "&amp; A40</f>
        <v>TOTAL STATE OF NEVADA</v>
      </c>
      <c r="B49" s="68">
        <f>B42</f>
        <v>0.17</v>
      </c>
      <c r="C49" s="68">
        <f>C42</f>
        <v>0</v>
      </c>
      <c r="D49" s="69">
        <f t="shared" ref="D49:Q49" si="32">SUM(D42:D44,D46:D47)</f>
        <v>27985</v>
      </c>
      <c r="E49" s="204"/>
      <c r="F49" s="414">
        <f t="shared" si="32"/>
        <v>5214250659.2494116</v>
      </c>
      <c r="G49" s="70">
        <f t="shared" si="32"/>
        <v>271056.51790000004</v>
      </c>
      <c r="H49" s="70">
        <f t="shared" si="32"/>
        <v>8580287.477</v>
      </c>
      <c r="I49" s="70">
        <f t="shared" si="32"/>
        <v>0</v>
      </c>
      <c r="J49" s="70">
        <f t="shared" si="32"/>
        <v>34208.32</v>
      </c>
      <c r="K49" s="70">
        <f t="shared" si="32"/>
        <v>214.2</v>
      </c>
      <c r="L49" s="70">
        <f t="shared" si="32"/>
        <v>8817349.8748999983</v>
      </c>
      <c r="M49" s="70">
        <f t="shared" si="32"/>
        <v>1019865.0499999999</v>
      </c>
      <c r="N49" s="70">
        <f t="shared" si="32"/>
        <v>7797484.8249000004</v>
      </c>
      <c r="O49" s="70">
        <f t="shared" si="32"/>
        <v>189158.71999999997</v>
      </c>
      <c r="P49" s="70">
        <f t="shared" si="32"/>
        <v>0</v>
      </c>
      <c r="Q49" s="70">
        <f t="shared" si="32"/>
        <v>7608326.1048999997</v>
      </c>
      <c r="T49" s="59"/>
    </row>
    <row r="50" spans="1:22">
      <c r="A50" s="150" t="s">
        <v>355</v>
      </c>
      <c r="B50" s="48"/>
      <c r="C50" s="48"/>
      <c r="E50" s="173"/>
      <c r="F50" s="418">
        <v>5064881832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</row>
    <row r="51" spans="1:22">
      <c r="A51" s="151" t="s">
        <v>30</v>
      </c>
      <c r="B51" s="51"/>
      <c r="C51" s="51"/>
      <c r="D51" s="52"/>
      <c r="E51" s="203"/>
      <c r="F51" s="482">
        <f>(F49-F50)</f>
        <v>149368827.24941158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T51" s="266" t="s">
        <v>378</v>
      </c>
      <c r="U51" s="266" t="s">
        <v>384</v>
      </c>
      <c r="V51" s="266" t="s">
        <v>227</v>
      </c>
    </row>
    <row r="52" spans="1:22">
      <c r="A52" s="54" t="s">
        <v>12</v>
      </c>
      <c r="B52" s="48"/>
      <c r="C52" s="48"/>
      <c r="E52" s="173"/>
      <c r="F52" s="413"/>
      <c r="G52" s="64"/>
      <c r="H52" s="53"/>
      <c r="I52" s="53"/>
      <c r="J52" s="53"/>
      <c r="K52" s="53"/>
      <c r="L52" s="53"/>
      <c r="M52" s="53"/>
      <c r="N52" s="53"/>
      <c r="O52" s="53"/>
      <c r="P52" s="53"/>
      <c r="Q52" s="53"/>
      <c r="T52" s="266" t="s">
        <v>379</v>
      </c>
      <c r="U52" s="266" t="s">
        <v>385</v>
      </c>
      <c r="V52" s="266" t="s">
        <v>382</v>
      </c>
    </row>
    <row r="53" spans="1:22">
      <c r="A53" s="47"/>
      <c r="B53" s="48"/>
      <c r="C53" s="48"/>
      <c r="E53" s="173"/>
      <c r="F53" s="463">
        <f>(G67+H67)/B67*100</f>
        <v>4933783666.9520569</v>
      </c>
      <c r="G53" s="13"/>
      <c r="H53" s="463">
        <f>F53-J53</f>
        <v>4916039765.4109612</v>
      </c>
      <c r="I53" s="13"/>
      <c r="J53" s="463">
        <f>J67/B67*100</f>
        <v>17743901.541095886</v>
      </c>
      <c r="K53" s="53"/>
      <c r="L53" s="53"/>
      <c r="M53" s="53"/>
      <c r="N53" s="53"/>
      <c r="O53" s="53"/>
      <c r="P53" s="53"/>
      <c r="Q53" s="53"/>
      <c r="T53" s="266"/>
      <c r="U53" s="266" t="s">
        <v>381</v>
      </c>
      <c r="V53" s="266" t="s">
        <v>383</v>
      </c>
    </row>
    <row r="54" spans="1:22">
      <c r="A54" s="49" t="s">
        <v>15</v>
      </c>
      <c r="B54" s="48"/>
      <c r="C54" s="48"/>
      <c r="E54" s="173"/>
      <c r="F54" s="41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T54" s="266"/>
      <c r="U54" s="266"/>
      <c r="V54" s="266"/>
    </row>
    <row r="55" spans="1:22">
      <c r="A55" s="67" t="s">
        <v>61</v>
      </c>
      <c r="B55" s="48">
        <v>0.87609999999999999</v>
      </c>
      <c r="C55" s="48">
        <v>0</v>
      </c>
      <c r="D55" s="43">
        <v>27985</v>
      </c>
      <c r="E55" s="173"/>
      <c r="F55" s="412">
        <v>4945896406</v>
      </c>
      <c r="G55" s="53">
        <v>248658.66</v>
      </c>
      <c r="H55" s="53">
        <v>42976217.700000003</v>
      </c>
      <c r="I55" s="53">
        <f>F55*C55/100</f>
        <v>0</v>
      </c>
      <c r="J55" s="53">
        <v>155532.32999999999</v>
      </c>
      <c r="K55" s="53">
        <v>1078.6300000000001</v>
      </c>
      <c r="L55" s="53">
        <f>G55+H55+I55-J55+K55</f>
        <v>43070422.660000004</v>
      </c>
      <c r="M55" s="53">
        <v>8502945.0700000003</v>
      </c>
      <c r="N55" s="53">
        <f>L55-M55</f>
        <v>34567477.590000004</v>
      </c>
      <c r="O55" s="53">
        <v>1052113.21</v>
      </c>
      <c r="P55" s="53">
        <v>0</v>
      </c>
      <c r="Q55" s="53">
        <f>N55-O55-P55</f>
        <v>33515364.380000003</v>
      </c>
      <c r="T55" s="267">
        <f t="shared" ref="T55:T65" si="33">B55/$B$67</f>
        <v>0.75008561643835625</v>
      </c>
      <c r="U55" s="153">
        <f t="shared" ref="U55:U65" si="34">$T$72*T55</f>
        <v>2305474.4611959392</v>
      </c>
      <c r="V55" s="153">
        <f>Q55+U55</f>
        <v>35820838.841195941</v>
      </c>
    </row>
    <row r="56" spans="1:22">
      <c r="A56" s="67" t="s">
        <v>62</v>
      </c>
      <c r="B56" s="48">
        <v>0.06</v>
      </c>
      <c r="C56" s="48">
        <v>0</v>
      </c>
      <c r="D56" s="43">
        <v>27985</v>
      </c>
      <c r="E56" s="173"/>
      <c r="F56" s="412">
        <v>4945896406</v>
      </c>
      <c r="G56" s="53">
        <v>17029.43</v>
      </c>
      <c r="H56" s="53">
        <v>2943240.67</v>
      </c>
      <c r="I56" s="53">
        <f t="shared" ref="I56:I65" si="35">F56*C56/100</f>
        <v>0</v>
      </c>
      <c r="J56" s="53">
        <v>10663.1</v>
      </c>
      <c r="K56" s="53">
        <v>73.91</v>
      </c>
      <c r="L56" s="53">
        <f t="shared" ref="L56:L65" si="36">G56+H56+I56-J56+K56</f>
        <v>2949680.91</v>
      </c>
      <c r="M56" s="53">
        <v>438568.1</v>
      </c>
      <c r="N56" s="53">
        <f t="shared" ref="N56:N65" si="37">L56-M56</f>
        <v>2511112.81</v>
      </c>
      <c r="O56" s="53">
        <v>72054.080000000002</v>
      </c>
      <c r="P56" s="53">
        <v>0</v>
      </c>
      <c r="Q56" s="53">
        <f t="shared" ref="Q56:Q65" si="38">N56-O56-P56</f>
        <v>2439058.73</v>
      </c>
      <c r="T56" s="267">
        <f t="shared" si="33"/>
        <v>5.1369863013698634E-2</v>
      </c>
      <c r="U56" s="153">
        <f t="shared" si="34"/>
        <v>157891.18556301374</v>
      </c>
      <c r="V56" s="153">
        <f t="shared" ref="V56:V65" si="39">Q56+U56</f>
        <v>2596949.9155630139</v>
      </c>
    </row>
    <row r="57" spans="1:22">
      <c r="A57" s="67" t="s">
        <v>63</v>
      </c>
      <c r="B57" s="48">
        <v>7.4999999999999997E-3</v>
      </c>
      <c r="C57" s="48">
        <v>0</v>
      </c>
      <c r="D57" s="43">
        <v>27985</v>
      </c>
      <c r="E57" s="173"/>
      <c r="F57" s="413">
        <v>4945896406</v>
      </c>
      <c r="G57" s="53">
        <v>2128.4299999999998</v>
      </c>
      <c r="H57" s="53">
        <v>367905.81</v>
      </c>
      <c r="I57" s="53">
        <f t="shared" si="35"/>
        <v>0</v>
      </c>
      <c r="J57" s="53">
        <v>1333.43</v>
      </c>
      <c r="K57" s="53">
        <v>9.24</v>
      </c>
      <c r="L57" s="53">
        <f t="shared" si="36"/>
        <v>368710.05</v>
      </c>
      <c r="M57" s="53">
        <v>44547.72</v>
      </c>
      <c r="N57" s="53">
        <f t="shared" si="37"/>
        <v>324162.32999999996</v>
      </c>
      <c r="O57" s="53">
        <v>9007.48</v>
      </c>
      <c r="P57" s="53">
        <v>0</v>
      </c>
      <c r="Q57" s="53">
        <f t="shared" si="38"/>
        <v>315154.84999999998</v>
      </c>
      <c r="T57" s="267">
        <f t="shared" si="33"/>
        <v>6.4212328767123293E-3</v>
      </c>
      <c r="U57" s="153">
        <f t="shared" si="34"/>
        <v>19736.398195376718</v>
      </c>
      <c r="V57" s="153">
        <f t="shared" si="39"/>
        <v>334891.24819537671</v>
      </c>
    </row>
    <row r="58" spans="1:22">
      <c r="A58" s="67" t="s">
        <v>439</v>
      </c>
      <c r="B58" s="48">
        <v>5.6300000000000003E-2</v>
      </c>
      <c r="C58" s="48">
        <v>0</v>
      </c>
      <c r="D58" s="43">
        <v>27985</v>
      </c>
      <c r="E58" s="173"/>
      <c r="F58" s="413">
        <v>4945896406</v>
      </c>
      <c r="G58" s="53">
        <v>15979.49</v>
      </c>
      <c r="H58" s="53">
        <v>2761741.09</v>
      </c>
      <c r="I58" s="53">
        <f t="shared" si="35"/>
        <v>0</v>
      </c>
      <c r="J58" s="53">
        <v>9836.1</v>
      </c>
      <c r="K58" s="53">
        <v>69.290000000000006</v>
      </c>
      <c r="L58" s="53">
        <f t="shared" si="36"/>
        <v>2767953.77</v>
      </c>
      <c r="M58" s="53">
        <v>822877.85</v>
      </c>
      <c r="N58" s="53">
        <f t="shared" si="37"/>
        <v>1945075.92</v>
      </c>
      <c r="O58" s="53">
        <v>67609.179999999993</v>
      </c>
      <c r="P58" s="53">
        <v>0</v>
      </c>
      <c r="Q58" s="53">
        <f t="shared" si="38"/>
        <v>1877466.74</v>
      </c>
      <c r="T58" s="267">
        <f t="shared" si="33"/>
        <v>4.8202054794520555E-2</v>
      </c>
      <c r="U58" s="153">
        <f t="shared" si="34"/>
        <v>148154.56245329458</v>
      </c>
      <c r="V58" s="153">
        <f>Q58+U58</f>
        <v>2025621.3024532946</v>
      </c>
    </row>
    <row r="59" spans="1:22">
      <c r="A59" s="67" t="s">
        <v>64</v>
      </c>
      <c r="B59" s="48">
        <v>4.7500000000000001E-2</v>
      </c>
      <c r="C59" s="48">
        <v>0</v>
      </c>
      <c r="D59" s="43">
        <v>27985</v>
      </c>
      <c r="E59" s="173"/>
      <c r="F59" s="413">
        <v>4945896406</v>
      </c>
      <c r="G59" s="53">
        <v>13481.44</v>
      </c>
      <c r="H59" s="53">
        <v>2330064.52</v>
      </c>
      <c r="I59" s="53">
        <f t="shared" si="35"/>
        <v>0</v>
      </c>
      <c r="J59" s="53">
        <v>8445.89</v>
      </c>
      <c r="K59" s="53">
        <v>58.47</v>
      </c>
      <c r="L59" s="53">
        <f t="shared" si="36"/>
        <v>2335158.54</v>
      </c>
      <c r="M59" s="53">
        <v>282131.74</v>
      </c>
      <c r="N59" s="53">
        <f t="shared" si="37"/>
        <v>2053026.8</v>
      </c>
      <c r="O59" s="53">
        <v>57041.72</v>
      </c>
      <c r="P59" s="53">
        <v>0</v>
      </c>
      <c r="Q59" s="53">
        <f t="shared" si="38"/>
        <v>1995985.08</v>
      </c>
      <c r="T59" s="267">
        <f t="shared" si="33"/>
        <v>4.0667808219178085E-2</v>
      </c>
      <c r="U59" s="153">
        <f t="shared" si="34"/>
        <v>124997.18857071921</v>
      </c>
      <c r="V59" s="153">
        <f t="shared" si="39"/>
        <v>2120982.2685707193</v>
      </c>
    </row>
    <row r="60" spans="1:22">
      <c r="A60" s="67" t="s">
        <v>65</v>
      </c>
      <c r="B60" s="48">
        <v>0.05</v>
      </c>
      <c r="C60" s="48">
        <v>0</v>
      </c>
      <c r="D60" s="43">
        <v>27985</v>
      </c>
      <c r="E60" s="173"/>
      <c r="F60" s="413">
        <v>4945896406</v>
      </c>
      <c r="G60" s="53">
        <v>14191.66</v>
      </c>
      <c r="H60" s="53">
        <v>2452698.89</v>
      </c>
      <c r="I60" s="53">
        <f t="shared" si="35"/>
        <v>0</v>
      </c>
      <c r="J60" s="53">
        <v>8891.1200000000008</v>
      </c>
      <c r="K60" s="53">
        <v>61.56</v>
      </c>
      <c r="L60" s="53">
        <f t="shared" si="36"/>
        <v>2458060.9900000002</v>
      </c>
      <c r="M60" s="53">
        <v>296980.86</v>
      </c>
      <c r="N60" s="53">
        <f t="shared" si="37"/>
        <v>2161080.1300000004</v>
      </c>
      <c r="O60" s="53">
        <v>60044.47</v>
      </c>
      <c r="P60" s="53">
        <v>0</v>
      </c>
      <c r="Q60" s="53">
        <f t="shared" si="38"/>
        <v>2101035.66</v>
      </c>
      <c r="T60" s="267">
        <f t="shared" si="33"/>
        <v>4.2808219178082196E-2</v>
      </c>
      <c r="U60" s="153">
        <f t="shared" si="34"/>
        <v>131575.98796917812</v>
      </c>
      <c r="V60" s="153">
        <f t="shared" si="39"/>
        <v>2232611.6479691784</v>
      </c>
    </row>
    <row r="61" spans="1:22">
      <c r="A61" s="67" t="s">
        <v>66</v>
      </c>
      <c r="B61" s="48">
        <v>3.3700000000000001E-2</v>
      </c>
      <c r="C61" s="48">
        <v>0</v>
      </c>
      <c r="D61" s="43">
        <v>27985</v>
      </c>
      <c r="E61" s="173"/>
      <c r="F61" s="413">
        <v>4945896406</v>
      </c>
      <c r="G61" s="53">
        <v>9565.07</v>
      </c>
      <c r="H61" s="53">
        <v>1653120.26</v>
      </c>
      <c r="I61" s="53">
        <f t="shared" si="35"/>
        <v>0</v>
      </c>
      <c r="J61" s="53">
        <v>5987.71</v>
      </c>
      <c r="K61" s="53">
        <v>41.48</v>
      </c>
      <c r="L61" s="53">
        <f t="shared" si="36"/>
        <v>1656739.1</v>
      </c>
      <c r="M61" s="53">
        <v>278716.96999999997</v>
      </c>
      <c r="N61" s="53">
        <f t="shared" si="37"/>
        <v>1378022.1300000001</v>
      </c>
      <c r="O61" s="53">
        <v>40470.1</v>
      </c>
      <c r="P61" s="53">
        <v>0</v>
      </c>
      <c r="Q61" s="53">
        <f t="shared" si="38"/>
        <v>1337552.03</v>
      </c>
      <c r="T61" s="267">
        <f t="shared" si="33"/>
        <v>2.88527397260274E-2</v>
      </c>
      <c r="U61" s="153">
        <f t="shared" si="34"/>
        <v>88682.215891226049</v>
      </c>
      <c r="V61" s="153">
        <f t="shared" si="39"/>
        <v>1426234.245891226</v>
      </c>
    </row>
    <row r="62" spans="1:22">
      <c r="A62" s="67" t="s">
        <v>67</v>
      </c>
      <c r="B62" s="48">
        <v>3.8999999999999998E-3</v>
      </c>
      <c r="C62" s="48">
        <v>0</v>
      </c>
      <c r="D62" s="43">
        <v>27985</v>
      </c>
      <c r="E62" s="173"/>
      <c r="F62" s="413">
        <v>4945896406</v>
      </c>
      <c r="G62" s="53">
        <v>1106.99</v>
      </c>
      <c r="H62" s="53">
        <v>191310.84</v>
      </c>
      <c r="I62" s="53">
        <f t="shared" si="35"/>
        <v>0</v>
      </c>
      <c r="J62" s="53">
        <v>691.89</v>
      </c>
      <c r="K62" s="53">
        <v>4.82</v>
      </c>
      <c r="L62" s="53">
        <f t="shared" si="36"/>
        <v>191730.75999999998</v>
      </c>
      <c r="M62" s="53">
        <v>29491.51</v>
      </c>
      <c r="N62" s="53">
        <f t="shared" si="37"/>
        <v>162239.24999999997</v>
      </c>
      <c r="O62" s="53">
        <v>4683.3</v>
      </c>
      <c r="P62" s="53">
        <v>0</v>
      </c>
      <c r="Q62" s="53">
        <f t="shared" si="38"/>
        <v>157555.94999999998</v>
      </c>
      <c r="T62" s="267">
        <f t="shared" si="33"/>
        <v>3.3390410958904111E-3</v>
      </c>
      <c r="U62" s="153">
        <f t="shared" si="34"/>
        <v>10262.927061595892</v>
      </c>
      <c r="V62" s="153">
        <f t="shared" si="39"/>
        <v>167818.87706159588</v>
      </c>
    </row>
    <row r="63" spans="1:22">
      <c r="A63" s="67" t="s">
        <v>68</v>
      </c>
      <c r="B63" s="48">
        <v>1.4999999999999999E-2</v>
      </c>
      <c r="C63" s="48">
        <v>0</v>
      </c>
      <c r="D63" s="43">
        <v>27985</v>
      </c>
      <c r="E63" s="173"/>
      <c r="F63" s="413">
        <v>4945896406</v>
      </c>
      <c r="G63" s="53">
        <v>4257.63</v>
      </c>
      <c r="H63" s="53">
        <v>735810.71</v>
      </c>
      <c r="I63" s="53">
        <f t="shared" si="35"/>
        <v>0</v>
      </c>
      <c r="J63" s="53">
        <v>2667.9</v>
      </c>
      <c r="K63" s="53">
        <v>18.48</v>
      </c>
      <c r="L63" s="53">
        <f t="shared" si="36"/>
        <v>737418.91999999993</v>
      </c>
      <c r="M63" s="53">
        <v>89093.73</v>
      </c>
      <c r="N63" s="53">
        <f t="shared" si="37"/>
        <v>648325.18999999994</v>
      </c>
      <c r="O63" s="53">
        <v>18014.21</v>
      </c>
      <c r="P63" s="53">
        <v>0</v>
      </c>
      <c r="Q63" s="53">
        <f t="shared" si="38"/>
        <v>630310.98</v>
      </c>
      <c r="T63" s="267">
        <f t="shared" si="33"/>
        <v>1.2842465753424659E-2</v>
      </c>
      <c r="U63" s="153">
        <f t="shared" si="34"/>
        <v>39472.796390753436</v>
      </c>
      <c r="V63" s="153">
        <f t="shared" si="39"/>
        <v>669783.77639075345</v>
      </c>
    </row>
    <row r="64" spans="1:22">
      <c r="A64" s="67" t="s">
        <v>69</v>
      </c>
      <c r="B64" s="48">
        <v>0.01</v>
      </c>
      <c r="C64" s="48">
        <v>0</v>
      </c>
      <c r="D64" s="43">
        <v>27985</v>
      </c>
      <c r="E64" s="173"/>
      <c r="F64" s="413">
        <v>4945896406</v>
      </c>
      <c r="G64" s="53">
        <v>2838.68</v>
      </c>
      <c r="H64" s="53">
        <v>490540.42</v>
      </c>
      <c r="I64" s="53">
        <f t="shared" si="35"/>
        <v>0</v>
      </c>
      <c r="J64" s="53">
        <v>1776.69</v>
      </c>
      <c r="K64" s="53">
        <v>12.33</v>
      </c>
      <c r="L64" s="53">
        <f t="shared" si="36"/>
        <v>491614.74</v>
      </c>
      <c r="M64" s="53">
        <v>59395.59</v>
      </c>
      <c r="N64" s="53">
        <f t="shared" si="37"/>
        <v>432219.15</v>
      </c>
      <c r="O64" s="53">
        <v>12008.53</v>
      </c>
      <c r="P64" s="53">
        <v>0</v>
      </c>
      <c r="Q64" s="53">
        <f t="shared" si="38"/>
        <v>420210.62</v>
      </c>
      <c r="T64" s="267">
        <f t="shared" si="33"/>
        <v>8.5616438356164396E-3</v>
      </c>
      <c r="U64" s="153">
        <f t="shared" si="34"/>
        <v>26315.197593835626</v>
      </c>
      <c r="V64" s="153">
        <f t="shared" si="39"/>
        <v>446525.81759383564</v>
      </c>
    </row>
    <row r="65" spans="1:22">
      <c r="A65" s="67" t="s">
        <v>70</v>
      </c>
      <c r="B65" s="48">
        <v>8.0000000000000002E-3</v>
      </c>
      <c r="C65" s="48">
        <v>0</v>
      </c>
      <c r="D65" s="43">
        <v>27985</v>
      </c>
      <c r="E65" s="173"/>
      <c r="F65" s="413">
        <v>4945896406</v>
      </c>
      <c r="G65" s="53">
        <v>2270.61</v>
      </c>
      <c r="H65" s="53">
        <v>392434.23</v>
      </c>
      <c r="I65" s="53">
        <f t="shared" si="35"/>
        <v>0</v>
      </c>
      <c r="J65" s="53">
        <v>1422.61</v>
      </c>
      <c r="K65" s="53">
        <v>9.83</v>
      </c>
      <c r="L65" s="53">
        <f t="shared" si="36"/>
        <v>393292.06</v>
      </c>
      <c r="M65" s="53">
        <v>47516.61</v>
      </c>
      <c r="N65" s="53">
        <f t="shared" si="37"/>
        <v>345775.45</v>
      </c>
      <c r="O65" s="53">
        <v>9608.8799999999992</v>
      </c>
      <c r="P65" s="53">
        <v>0</v>
      </c>
      <c r="Q65" s="53">
        <f t="shared" si="38"/>
        <v>336166.57</v>
      </c>
      <c r="T65" s="267">
        <f t="shared" si="33"/>
        <v>6.8493150684931512E-3</v>
      </c>
      <c r="U65" s="153">
        <f t="shared" si="34"/>
        <v>21052.158075068499</v>
      </c>
      <c r="V65" s="153">
        <f t="shared" si="39"/>
        <v>357218.7280750685</v>
      </c>
    </row>
    <row r="66" spans="1:22" s="50" customFormat="1">
      <c r="A66" s="71"/>
      <c r="B66" s="51"/>
      <c r="C66" s="51"/>
      <c r="D66" s="52"/>
      <c r="E66" s="65">
        <v>139805487</v>
      </c>
      <c r="F66" s="273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T66" s="269"/>
      <c r="U66" s="268"/>
      <c r="V66" s="268"/>
    </row>
    <row r="67" spans="1:22">
      <c r="A67" s="71" t="s">
        <v>26</v>
      </c>
      <c r="B67" s="48">
        <f>SUM(B55:B66)</f>
        <v>1.1679999999999999</v>
      </c>
      <c r="C67" s="48">
        <f>SUM(C55:C66)</f>
        <v>0</v>
      </c>
      <c r="D67" s="78">
        <f>+D55</f>
        <v>27985</v>
      </c>
      <c r="E67" s="208">
        <f>G67/B67*100</f>
        <v>28382541.952054795</v>
      </c>
      <c r="F67" s="419">
        <f>F55</f>
        <v>4945896406</v>
      </c>
      <c r="G67" s="73">
        <f t="shared" ref="G67:P67" si="40">SUM(G55:G65)</f>
        <v>331508.08999999997</v>
      </c>
      <c r="H67" s="73">
        <f t="shared" si="40"/>
        <v>57295085.140000015</v>
      </c>
      <c r="I67" s="73">
        <f t="shared" si="40"/>
        <v>0</v>
      </c>
      <c r="J67" s="73">
        <f t="shared" si="40"/>
        <v>207248.76999999996</v>
      </c>
      <c r="K67" s="73">
        <f t="shared" si="40"/>
        <v>1438.04</v>
      </c>
      <c r="L67" s="73">
        <f t="shared" si="40"/>
        <v>57420782.500000015</v>
      </c>
      <c r="M67" s="73">
        <f t="shared" si="40"/>
        <v>10892265.75</v>
      </c>
      <c r="N67" s="73">
        <f t="shared" si="40"/>
        <v>46528516.750000007</v>
      </c>
      <c r="O67" s="73">
        <f t="shared" si="40"/>
        <v>1402655.16</v>
      </c>
      <c r="P67" s="73">
        <f t="shared" si="40"/>
        <v>0</v>
      </c>
      <c r="Q67" s="73">
        <f>N67-O67-P67</f>
        <v>45125861.590000011</v>
      </c>
      <c r="T67" s="267">
        <f>SUM(T55:T65)</f>
        <v>1</v>
      </c>
      <c r="U67" s="267">
        <f>SUM(U55:U65)</f>
        <v>3073615.0789600015</v>
      </c>
      <c r="V67" s="153">
        <f>SUM(V55:V65)</f>
        <v>48199476.66896002</v>
      </c>
    </row>
    <row r="68" spans="1:22" ht="21" customHeight="1">
      <c r="A68" s="47" t="s">
        <v>16</v>
      </c>
      <c r="B68" s="48">
        <f>B$67</f>
        <v>1.1679999999999999</v>
      </c>
      <c r="C68" s="48">
        <f>C$67</f>
        <v>0</v>
      </c>
      <c r="E68" s="173"/>
      <c r="F68" s="416">
        <f>IF(E66&gt;E67,E66-E67,0)</f>
        <v>111422945.0479452</v>
      </c>
      <c r="G68" s="53">
        <f>F68*(B68-C68)/100</f>
        <v>1301419.99816</v>
      </c>
      <c r="H68" s="53"/>
      <c r="I68" s="53">
        <f>F68*C68/100</f>
        <v>0</v>
      </c>
      <c r="J68" s="53">
        <v>0</v>
      </c>
      <c r="K68" s="53">
        <v>0</v>
      </c>
      <c r="L68" s="53">
        <f>G68+H68+I68-J68+K68</f>
        <v>1301419.99816</v>
      </c>
      <c r="M68" s="53">
        <v>0</v>
      </c>
      <c r="N68" s="53">
        <f>L68-M68</f>
        <v>1301419.99816</v>
      </c>
      <c r="O68" s="53">
        <v>0</v>
      </c>
      <c r="P68" s="53">
        <v>0</v>
      </c>
      <c r="Q68" s="53">
        <f>N68-O68-P68</f>
        <v>1301419.99816</v>
      </c>
      <c r="T68" s="153"/>
      <c r="U68" s="266"/>
      <c r="V68" s="266"/>
    </row>
    <row r="69" spans="1:22" ht="12.75" customHeight="1">
      <c r="A69" s="47" t="s">
        <v>17</v>
      </c>
      <c r="B69" s="48">
        <f t="shared" ref="B69:C72" si="41">B$67</f>
        <v>1.1679999999999999</v>
      </c>
      <c r="C69" s="48">
        <f t="shared" si="41"/>
        <v>0</v>
      </c>
      <c r="E69" s="173"/>
      <c r="F69" s="417">
        <v>82598810</v>
      </c>
      <c r="G69" s="53"/>
      <c r="H69" s="53">
        <f>F69*(B69-C69)/100</f>
        <v>964754.10080000001</v>
      </c>
      <c r="I69" s="53">
        <f>F69*C69/100</f>
        <v>0</v>
      </c>
      <c r="J69" s="53"/>
      <c r="K69" s="53">
        <v>0</v>
      </c>
      <c r="L69" s="53">
        <f>G69+H69+I69-J69+K69</f>
        <v>964754.10080000001</v>
      </c>
      <c r="M69" s="53">
        <v>0</v>
      </c>
      <c r="N69" s="53">
        <f>L69-M69</f>
        <v>964754.10080000001</v>
      </c>
      <c r="O69" s="53">
        <v>0</v>
      </c>
      <c r="P69" s="53">
        <v>0</v>
      </c>
      <c r="Q69" s="53">
        <f>N69-O69-P69</f>
        <v>964754.10080000001</v>
      </c>
      <c r="T69" s="266" t="s">
        <v>380</v>
      </c>
      <c r="U69" s="266"/>
      <c r="V69" s="266"/>
    </row>
    <row r="70" spans="1:22" s="548" customFormat="1">
      <c r="A70" s="549" t="s">
        <v>18</v>
      </c>
      <c r="B70" s="550"/>
      <c r="C70" s="550"/>
      <c r="D70" s="551"/>
      <c r="E70" s="551"/>
      <c r="F70" s="413"/>
      <c r="G70" s="552"/>
      <c r="H70" s="552"/>
      <c r="I70" s="552"/>
      <c r="J70" s="552"/>
      <c r="K70" s="552"/>
      <c r="L70" s="552"/>
      <c r="M70" s="552"/>
      <c r="N70" s="552"/>
      <c r="O70" s="552"/>
      <c r="P70" s="552"/>
      <c r="Q70" s="552"/>
      <c r="T70" s="548" t="s">
        <v>381</v>
      </c>
    </row>
    <row r="71" spans="1:22" s="548" customFormat="1">
      <c r="A71" s="553" t="s">
        <v>19</v>
      </c>
      <c r="B71" s="550">
        <f t="shared" si="41"/>
        <v>1.1679999999999999</v>
      </c>
      <c r="C71" s="550">
        <f t="shared" si="41"/>
        <v>0</v>
      </c>
      <c r="D71" s="551"/>
      <c r="E71" s="551"/>
      <c r="F71" s="413">
        <v>62453748.93</v>
      </c>
      <c r="G71" s="552">
        <v>90738.53</v>
      </c>
      <c r="H71" s="552">
        <v>666050.91</v>
      </c>
      <c r="I71" s="552">
        <v>0</v>
      </c>
      <c r="J71" s="552">
        <v>27329.65</v>
      </c>
      <c r="K71" s="552">
        <v>0</v>
      </c>
      <c r="L71" s="552">
        <f>G71+H71+I71-J71+K71</f>
        <v>729459.79</v>
      </c>
      <c r="M71" s="552">
        <v>60703.51</v>
      </c>
      <c r="N71" s="552">
        <f>L71-M71</f>
        <v>668756.28</v>
      </c>
      <c r="O71" s="552">
        <v>56.21</v>
      </c>
      <c r="P71" s="552">
        <v>0</v>
      </c>
      <c r="Q71" s="552">
        <f>N71-O71-P71</f>
        <v>668700.07000000007</v>
      </c>
    </row>
    <row r="72" spans="1:22" s="548" customFormat="1">
      <c r="A72" s="553" t="s">
        <v>20</v>
      </c>
      <c r="B72" s="550">
        <f t="shared" si="41"/>
        <v>1.1679999999999999</v>
      </c>
      <c r="C72" s="550">
        <f t="shared" si="41"/>
        <v>0</v>
      </c>
      <c r="D72" s="551"/>
      <c r="E72" s="551"/>
      <c r="F72" s="413">
        <v>11878883.789999999</v>
      </c>
      <c r="G72" s="552">
        <v>138650.68</v>
      </c>
      <c r="H72" s="552">
        <v>94.71</v>
      </c>
      <c r="I72" s="552">
        <v>0</v>
      </c>
      <c r="J72" s="552">
        <v>0</v>
      </c>
      <c r="K72" s="552">
        <v>0</v>
      </c>
      <c r="L72" s="552">
        <f>G72+H72+I72-J72+K72</f>
        <v>138745.38999999998</v>
      </c>
      <c r="M72" s="552">
        <v>0</v>
      </c>
      <c r="N72" s="552">
        <f>L72-M72</f>
        <v>138745.38999999998</v>
      </c>
      <c r="O72" s="552">
        <v>4.4800000000000004</v>
      </c>
      <c r="P72" s="552">
        <v>0</v>
      </c>
      <c r="Q72" s="552">
        <f>N72-O72-P72</f>
        <v>138740.90999999997</v>
      </c>
      <c r="S72" s="547"/>
      <c r="T72" s="547">
        <f>SUM(Q68:Q69,Q71:Q72)</f>
        <v>3073615.0789600005</v>
      </c>
    </row>
    <row r="73" spans="1:22">
      <c r="A73" s="47"/>
      <c r="B73" s="48"/>
      <c r="C73" s="48"/>
      <c r="E73" s="173"/>
      <c r="F73" s="41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T73" s="266"/>
      <c r="U73" s="266"/>
      <c r="V73" s="266"/>
    </row>
    <row r="74" spans="1:22" s="50" customFormat="1" ht="13.5" thickBot="1">
      <c r="A74" s="60" t="s">
        <v>27</v>
      </c>
      <c r="B74" s="68">
        <f>B68</f>
        <v>1.1679999999999999</v>
      </c>
      <c r="C74" s="68">
        <f>C67</f>
        <v>0</v>
      </c>
      <c r="D74" s="69">
        <f>SUM(D67:D69,D71:D72)</f>
        <v>27985</v>
      </c>
      <c r="E74" s="204"/>
      <c r="F74" s="414">
        <f t="shared" ref="F74:Q74" si="42">SUM(F67:F69,F71:F72)</f>
        <v>5214250793.7679453</v>
      </c>
      <c r="G74" s="70">
        <f t="shared" si="42"/>
        <v>1862317.2981599998</v>
      </c>
      <c r="H74" s="70">
        <f t="shared" si="42"/>
        <v>58925984.860800013</v>
      </c>
      <c r="I74" s="70">
        <f t="shared" si="42"/>
        <v>0</v>
      </c>
      <c r="J74" s="70">
        <f t="shared" si="42"/>
        <v>234578.41999999995</v>
      </c>
      <c r="K74" s="70">
        <f t="shared" si="42"/>
        <v>1438.04</v>
      </c>
      <c r="L74" s="70">
        <f t="shared" si="42"/>
        <v>60555161.778960012</v>
      </c>
      <c r="M74" s="70">
        <f t="shared" si="42"/>
        <v>10952969.26</v>
      </c>
      <c r="N74" s="70">
        <f t="shared" si="42"/>
        <v>49602192.518960007</v>
      </c>
      <c r="O74" s="70">
        <f t="shared" si="42"/>
        <v>1402715.8499999999</v>
      </c>
      <c r="P74" s="70">
        <f t="shared" si="42"/>
        <v>0</v>
      </c>
      <c r="Q74" s="70">
        <f t="shared" si="42"/>
        <v>48199476.668960005</v>
      </c>
      <c r="T74" s="59"/>
    </row>
    <row r="75" spans="1:22" s="168" customFormat="1">
      <c r="A75" s="165" t="s">
        <v>28</v>
      </c>
      <c r="B75" s="166"/>
      <c r="C75" s="166"/>
      <c r="D75" s="167"/>
      <c r="E75" s="167"/>
      <c r="F75" s="420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</row>
    <row r="76" spans="1:22" s="168" customFormat="1">
      <c r="A76" s="200" t="s">
        <v>29</v>
      </c>
      <c r="B76" s="166"/>
      <c r="C76" s="166"/>
      <c r="D76" s="167"/>
      <c r="E76" s="167"/>
      <c r="F76" s="420">
        <v>26497667</v>
      </c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</row>
    <row r="77" spans="1:22" s="168" customFormat="1">
      <c r="A77" s="200" t="s">
        <v>15</v>
      </c>
      <c r="B77" s="166"/>
      <c r="C77" s="166"/>
      <c r="D77" s="167"/>
      <c r="E77" s="167" t="s">
        <v>372</v>
      </c>
      <c r="F77" s="421">
        <v>4768144903</v>
      </c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</row>
    <row r="78" spans="1:22" s="168" customFormat="1">
      <c r="A78" s="200"/>
      <c r="B78" s="166"/>
      <c r="C78" s="166"/>
      <c r="D78" s="167"/>
      <c r="E78" s="167">
        <v>171499284</v>
      </c>
      <c r="F78" s="420">
        <f>F76+F77</f>
        <v>4794642570</v>
      </c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</row>
    <row r="79" spans="1:22" s="168" customFormat="1">
      <c r="A79" s="200" t="s">
        <v>30</v>
      </c>
      <c r="B79" s="166"/>
      <c r="C79" s="166"/>
      <c r="D79" s="167"/>
      <c r="E79" s="167">
        <f>F79-E78</f>
        <v>-20245448</v>
      </c>
      <c r="F79" s="422">
        <f>F67-F78</f>
        <v>151253836</v>
      </c>
      <c r="G79" s="170">
        <f>F79/F78</f>
        <v>3.1546425784977752E-2</v>
      </c>
      <c r="H79" s="167"/>
      <c r="I79" s="167"/>
      <c r="J79" s="167"/>
      <c r="K79" s="167"/>
      <c r="L79" s="167"/>
      <c r="M79" s="167"/>
      <c r="N79" s="167"/>
      <c r="O79" s="167"/>
      <c r="P79" s="167"/>
      <c r="Q79" s="167"/>
    </row>
    <row r="80" spans="1:22" s="174" customFormat="1">
      <c r="A80" s="171"/>
      <c r="B80" s="172"/>
      <c r="C80" s="172"/>
      <c r="D80" s="173"/>
      <c r="E80" s="173"/>
      <c r="F80" s="42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1:20" s="174" customFormat="1">
      <c r="A81" s="75" t="s">
        <v>355</v>
      </c>
      <c r="B81" s="172"/>
      <c r="C81" s="172"/>
      <c r="D81" s="175"/>
      <c r="E81" s="175"/>
      <c r="F81" s="424">
        <v>5064881832</v>
      </c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20" s="174" customFormat="1">
      <c r="A82" s="76" t="s">
        <v>30</v>
      </c>
      <c r="B82" s="172"/>
      <c r="C82" s="172"/>
      <c r="D82" s="77"/>
      <c r="E82" s="77"/>
      <c r="F82" s="425">
        <f>(F74-F81)</f>
        <v>149368961.76794529</v>
      </c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1:20">
      <c r="A83" s="47"/>
      <c r="B83" s="48"/>
      <c r="C83" s="48"/>
      <c r="E83" s="173"/>
      <c r="F83" s="41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T83" s="53"/>
    </row>
    <row r="84" spans="1:20">
      <c r="A84" s="54" t="s">
        <v>13</v>
      </c>
      <c r="B84" s="51"/>
      <c r="C84" s="51"/>
      <c r="D84" s="52"/>
      <c r="E84" s="203"/>
      <c r="F84" s="273">
        <f>(F86+J84)*0.0075</f>
        <v>37094223.045000002</v>
      </c>
      <c r="G84" s="64"/>
      <c r="H84" s="53">
        <f>G86+H86</f>
        <v>37003374.199999996</v>
      </c>
      <c r="I84" s="53"/>
      <c r="J84" s="53"/>
      <c r="K84" s="53"/>
      <c r="L84" s="53"/>
      <c r="M84" s="53"/>
      <c r="N84" s="53"/>
      <c r="O84" s="53"/>
      <c r="P84" s="53"/>
      <c r="Q84" s="53"/>
      <c r="T84" s="53"/>
    </row>
    <row r="85" spans="1:20">
      <c r="A85" s="47"/>
      <c r="B85" s="48"/>
      <c r="C85" s="48"/>
      <c r="E85" s="65">
        <v>139805487</v>
      </c>
      <c r="F85" s="41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T85" s="53"/>
    </row>
    <row r="86" spans="1:20">
      <c r="A86" s="49" t="s">
        <v>15</v>
      </c>
      <c r="B86" s="48">
        <v>0.75</v>
      </c>
      <c r="C86" s="48">
        <v>0</v>
      </c>
      <c r="D86" s="43">
        <v>27985</v>
      </c>
      <c r="E86" s="173">
        <f>G86/B86*100</f>
        <v>28382529.333333332</v>
      </c>
      <c r="F86" s="412">
        <v>4945896406</v>
      </c>
      <c r="G86" s="53">
        <v>212868.97</v>
      </c>
      <c r="H86" s="53">
        <v>36790505.229999997</v>
      </c>
      <c r="I86" s="53">
        <v>0</v>
      </c>
      <c r="J86" s="53">
        <v>133367.18</v>
      </c>
      <c r="K86" s="53">
        <v>923.37</v>
      </c>
      <c r="L86" s="53">
        <f>G86+H86+I86-J86+K86</f>
        <v>36870930.389999993</v>
      </c>
      <c r="M86" s="53">
        <v>4454725.7300000004</v>
      </c>
      <c r="N86" s="53">
        <f>L86-M86</f>
        <v>32416204.659999993</v>
      </c>
      <c r="O86" s="53">
        <v>900677.85</v>
      </c>
      <c r="P86" s="53">
        <v>0</v>
      </c>
      <c r="Q86" s="53">
        <f>N86-O86-P86</f>
        <v>31515526.809999991</v>
      </c>
      <c r="S86" s="323"/>
      <c r="T86" s="53"/>
    </row>
    <row r="87" spans="1:20">
      <c r="A87" s="47" t="s">
        <v>16</v>
      </c>
      <c r="B87" s="48">
        <f>B$86</f>
        <v>0.75</v>
      </c>
      <c r="C87" s="48">
        <f>C$86</f>
        <v>0</v>
      </c>
      <c r="E87" s="173"/>
      <c r="F87" s="416">
        <f>IF(E85&gt;E86,E85-E86,0)</f>
        <v>111422957.66666667</v>
      </c>
      <c r="G87" s="53">
        <f>F87*(B87-C87)/100</f>
        <v>835672.1825</v>
      </c>
      <c r="H87" s="53"/>
      <c r="I87" s="53">
        <f>F87*C87/100</f>
        <v>0</v>
      </c>
      <c r="J87" s="53"/>
      <c r="K87" s="53"/>
      <c r="L87" s="53">
        <f>G87+H87+I87-J87+K87</f>
        <v>835672.1825</v>
      </c>
      <c r="M87" s="53"/>
      <c r="N87" s="53">
        <f>L87-M87</f>
        <v>835672.1825</v>
      </c>
      <c r="O87" s="53"/>
      <c r="P87" s="53"/>
      <c r="Q87" s="53">
        <f>N87-O87-P87</f>
        <v>835672.1825</v>
      </c>
      <c r="T87" s="53"/>
    </row>
    <row r="88" spans="1:20">
      <c r="A88" s="47" t="s">
        <v>17</v>
      </c>
      <c r="B88" s="48">
        <f t="shared" ref="B88:C91" si="43">B$86</f>
        <v>0.75</v>
      </c>
      <c r="C88" s="48">
        <f t="shared" si="43"/>
        <v>0</v>
      </c>
      <c r="E88" s="173"/>
      <c r="F88" s="417">
        <v>82598810</v>
      </c>
      <c r="G88" s="53"/>
      <c r="H88" s="53">
        <f>F88*(B88-C88)/100</f>
        <v>619491.07499999995</v>
      </c>
      <c r="I88" s="53">
        <f>F88*C88/100</f>
        <v>0</v>
      </c>
      <c r="J88" s="53">
        <v>0</v>
      </c>
      <c r="K88" s="53">
        <v>0</v>
      </c>
      <c r="L88" s="53">
        <f>G88+H88+I88-J88+K88</f>
        <v>619491.07499999995</v>
      </c>
      <c r="M88" s="53">
        <v>0</v>
      </c>
      <c r="N88" s="53">
        <f>L88-M88</f>
        <v>619491.07499999995</v>
      </c>
      <c r="O88" s="53">
        <v>0</v>
      </c>
      <c r="P88" s="53">
        <v>0</v>
      </c>
      <c r="Q88" s="53">
        <f>N88-O88-P88</f>
        <v>619491.07499999995</v>
      </c>
      <c r="T88" s="53"/>
    </row>
    <row r="89" spans="1:20">
      <c r="A89" s="47" t="s">
        <v>18</v>
      </c>
      <c r="B89" s="48"/>
      <c r="C89" s="48"/>
      <c r="E89" s="173"/>
      <c r="F89" s="41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T89" s="53"/>
    </row>
    <row r="90" spans="1:20" ht="15">
      <c r="A90" s="67" t="s">
        <v>19</v>
      </c>
      <c r="B90" s="48">
        <f t="shared" si="43"/>
        <v>0.75</v>
      </c>
      <c r="C90" s="48">
        <f t="shared" si="43"/>
        <v>0</v>
      </c>
      <c r="E90" s="173"/>
      <c r="F90" s="485">
        <v>62453748.93</v>
      </c>
      <c r="G90" s="53">
        <f>66034.07*S93</f>
        <v>58265.355882352946</v>
      </c>
      <c r="H90" s="53">
        <f>484711.68*S93</f>
        <v>427686.77647058823</v>
      </c>
      <c r="I90" s="53">
        <v>0</v>
      </c>
      <c r="J90" s="53">
        <f>19888.94*S93</f>
        <v>17549.064705882352</v>
      </c>
      <c r="K90" s="53">
        <v>0</v>
      </c>
      <c r="L90" s="53">
        <f>G90+H90+I90-J90+K90</f>
        <v>468403.06764705887</v>
      </c>
      <c r="M90" s="53">
        <f>31975.34*S93</f>
        <v>28213.535294117646</v>
      </c>
      <c r="N90" s="53">
        <f>L90-M90</f>
        <v>440189.53235294123</v>
      </c>
      <c r="O90" s="53">
        <v>36.090000000000003</v>
      </c>
      <c r="P90" s="53">
        <v>0</v>
      </c>
      <c r="Q90" s="53">
        <f>N90-O90-P90</f>
        <v>440153.4423529412</v>
      </c>
      <c r="S90" s="381">
        <f>Q91-G91</f>
        <v>58.279411764699034</v>
      </c>
      <c r="T90" s="53"/>
    </row>
    <row r="91" spans="1:20">
      <c r="A91" s="67" t="s">
        <v>20</v>
      </c>
      <c r="B91" s="48">
        <f t="shared" si="43"/>
        <v>0.75</v>
      </c>
      <c r="C91" s="48">
        <f t="shared" si="43"/>
        <v>0</v>
      </c>
      <c r="E91" s="173"/>
      <c r="F91" s="413">
        <v>11878883.789999999</v>
      </c>
      <c r="G91" s="53">
        <f>100901.62*S93</f>
        <v>89030.841176470582</v>
      </c>
      <c r="H91" s="53">
        <f>68.93*S93</f>
        <v>60.820588235294125</v>
      </c>
      <c r="I91" s="53">
        <v>0</v>
      </c>
      <c r="J91" s="53">
        <v>0</v>
      </c>
      <c r="K91" s="53">
        <v>0</v>
      </c>
      <c r="L91" s="53">
        <f>G91+H91+I91-J91+K91</f>
        <v>89091.661764705874</v>
      </c>
      <c r="M91" s="53">
        <v>0</v>
      </c>
      <c r="N91" s="53">
        <f>L91-M91</f>
        <v>89091.661764705874</v>
      </c>
      <c r="O91" s="53">
        <f>2.88*S93</f>
        <v>2.5411764705882351</v>
      </c>
      <c r="P91" s="53">
        <v>0</v>
      </c>
      <c r="Q91" s="53">
        <f>N91-O91-P91</f>
        <v>89089.120588235281</v>
      </c>
      <c r="S91" s="381">
        <f>G91</f>
        <v>89030.841176470582</v>
      </c>
      <c r="T91" s="53">
        <f>+Q91+Q103</f>
        <v>100967.66999999998</v>
      </c>
    </row>
    <row r="92" spans="1:20">
      <c r="A92" s="47"/>
      <c r="B92" s="48"/>
      <c r="C92" s="48"/>
      <c r="E92" s="173"/>
      <c r="F92" s="41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T92" s="53"/>
    </row>
    <row r="93" spans="1:20" s="50" customFormat="1">
      <c r="A93" s="57" t="s">
        <v>31</v>
      </c>
      <c r="B93" s="51">
        <f>B86</f>
        <v>0.75</v>
      </c>
      <c r="C93" s="51">
        <f>C86</f>
        <v>0</v>
      </c>
      <c r="D93" s="78">
        <f t="shared" ref="D93:Q93" si="44">SUM(D86:D88,D90:D91)</f>
        <v>27985</v>
      </c>
      <c r="E93" s="206"/>
      <c r="F93" s="426">
        <f t="shared" si="44"/>
        <v>5214250806.3866673</v>
      </c>
      <c r="G93" s="79">
        <f t="shared" si="44"/>
        <v>1195837.3495588235</v>
      </c>
      <c r="H93" s="79">
        <f t="shared" si="44"/>
        <v>37837743.902058825</v>
      </c>
      <c r="I93" s="79">
        <f t="shared" si="44"/>
        <v>0</v>
      </c>
      <c r="J93" s="79">
        <f t="shared" si="44"/>
        <v>150916.24470588233</v>
      </c>
      <c r="K93" s="79">
        <f t="shared" si="44"/>
        <v>923.37</v>
      </c>
      <c r="L93" s="79">
        <f t="shared" si="44"/>
        <v>38883588.376911759</v>
      </c>
      <c r="M93" s="79">
        <f t="shared" si="44"/>
        <v>4482939.2652941179</v>
      </c>
      <c r="N93" s="79">
        <f t="shared" si="44"/>
        <v>34400649.11161764</v>
      </c>
      <c r="O93" s="79">
        <f t="shared" si="44"/>
        <v>900716.48117647052</v>
      </c>
      <c r="P93" s="79"/>
      <c r="Q93" s="79">
        <f t="shared" si="44"/>
        <v>33499932.630441166</v>
      </c>
      <c r="S93" s="183">
        <f>B93/B107</f>
        <v>0.88235294117647056</v>
      </c>
      <c r="T93" s="59"/>
    </row>
    <row r="94" spans="1:20">
      <c r="A94" s="47"/>
      <c r="B94" s="48"/>
      <c r="C94" s="48"/>
      <c r="E94" s="173"/>
      <c r="F94" s="413"/>
      <c r="G94" s="53"/>
      <c r="H94" s="53"/>
      <c r="I94" s="53"/>
      <c r="J94" s="53"/>
      <c r="K94" s="53"/>
      <c r="L94" s="505" t="s">
        <v>388</v>
      </c>
      <c r="M94" s="506">
        <f>M93/L93</f>
        <v>0.11529129518190227</v>
      </c>
      <c r="N94" s="53"/>
      <c r="O94" s="53"/>
      <c r="P94" s="53"/>
      <c r="Q94" s="53"/>
      <c r="T94" s="53"/>
    </row>
    <row r="95" spans="1:20">
      <c r="A95" s="47"/>
      <c r="B95" s="48"/>
      <c r="C95" s="48"/>
      <c r="E95" s="173"/>
      <c r="F95" s="413"/>
      <c r="G95" s="81">
        <f t="shared" ref="G95:Q96" si="45">G90+G102</f>
        <v>66034.070000000007</v>
      </c>
      <c r="H95" s="81">
        <f t="shared" si="45"/>
        <v>484711.67999999999</v>
      </c>
      <c r="I95" s="81">
        <f t="shared" si="45"/>
        <v>0</v>
      </c>
      <c r="J95" s="81">
        <f t="shared" si="45"/>
        <v>19888.939999999999</v>
      </c>
      <c r="K95" s="81">
        <f t="shared" si="45"/>
        <v>0</v>
      </c>
      <c r="L95" s="81">
        <f t="shared" si="45"/>
        <v>530856.81000000006</v>
      </c>
      <c r="M95" s="81">
        <f t="shared" si="45"/>
        <v>31975.34</v>
      </c>
      <c r="N95" s="81">
        <f t="shared" si="45"/>
        <v>498881.47000000009</v>
      </c>
      <c r="O95" s="81">
        <f t="shared" si="45"/>
        <v>40.700000000000003</v>
      </c>
      <c r="P95" s="81">
        <f t="shared" si="45"/>
        <v>0</v>
      </c>
      <c r="Q95" s="81">
        <f t="shared" si="45"/>
        <v>498840.77</v>
      </c>
      <c r="T95" s="81"/>
    </row>
    <row r="96" spans="1:20">
      <c r="A96" s="54" t="s">
        <v>32</v>
      </c>
      <c r="B96" s="48"/>
      <c r="C96" s="48"/>
      <c r="E96" s="173"/>
      <c r="F96" s="418"/>
      <c r="G96" s="81">
        <f t="shared" si="45"/>
        <v>100901.62</v>
      </c>
      <c r="H96" s="81">
        <f t="shared" si="45"/>
        <v>68.930000000000007</v>
      </c>
      <c r="I96" s="81">
        <f t="shared" si="45"/>
        <v>0</v>
      </c>
      <c r="J96" s="81">
        <f t="shared" si="45"/>
        <v>0</v>
      </c>
      <c r="K96" s="81">
        <f t="shared" si="45"/>
        <v>0</v>
      </c>
      <c r="L96" s="81">
        <f t="shared" si="45"/>
        <v>100970.54999999999</v>
      </c>
      <c r="M96" s="81">
        <f t="shared" si="45"/>
        <v>0</v>
      </c>
      <c r="N96" s="81">
        <f t="shared" si="45"/>
        <v>100970.54999999999</v>
      </c>
      <c r="O96" s="81">
        <f t="shared" si="45"/>
        <v>2.88</v>
      </c>
      <c r="P96" s="81">
        <f t="shared" si="45"/>
        <v>0</v>
      </c>
      <c r="Q96" s="81">
        <f>Q91+Q103</f>
        <v>100967.66999999998</v>
      </c>
      <c r="T96" s="81"/>
    </row>
    <row r="97" spans="1:20">
      <c r="A97" s="47"/>
      <c r="B97" s="48"/>
      <c r="C97" s="48"/>
      <c r="E97" s="65">
        <v>139805487</v>
      </c>
      <c r="F97" s="413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T97" s="53"/>
    </row>
    <row r="98" spans="1:20">
      <c r="A98" s="49" t="s">
        <v>15</v>
      </c>
      <c r="B98" s="48">
        <v>0.1</v>
      </c>
      <c r="C98" s="48">
        <v>0</v>
      </c>
      <c r="D98" s="43">
        <v>27985</v>
      </c>
      <c r="E98" s="173">
        <f>G98/B98*100</f>
        <v>28382459.999999996</v>
      </c>
      <c r="F98" s="412">
        <v>4945896406</v>
      </c>
      <c r="G98" s="53">
        <v>28382.46</v>
      </c>
      <c r="H98" s="53">
        <v>4935260.5</v>
      </c>
      <c r="I98" s="53">
        <v>0</v>
      </c>
      <c r="J98" s="53">
        <v>17788.25</v>
      </c>
      <c r="K98" s="53">
        <v>162.57</v>
      </c>
      <c r="L98" s="53">
        <f>G98+H98+I98-J98+K98</f>
        <v>4946017.28</v>
      </c>
      <c r="M98" s="53">
        <v>629661.62</v>
      </c>
      <c r="N98" s="53">
        <f>L98-M98</f>
        <v>4316355.66</v>
      </c>
      <c r="O98" s="53">
        <v>0</v>
      </c>
      <c r="P98" s="53">
        <v>0</v>
      </c>
      <c r="Q98" s="53">
        <f>N98-O98-P98</f>
        <v>4316355.66</v>
      </c>
      <c r="T98" s="53"/>
    </row>
    <row r="99" spans="1:20">
      <c r="A99" s="47" t="s">
        <v>16</v>
      </c>
      <c r="B99" s="48">
        <f>B$98</f>
        <v>0.1</v>
      </c>
      <c r="C99" s="48">
        <f>C$98</f>
        <v>0</v>
      </c>
      <c r="E99" s="173"/>
      <c r="F99" s="416">
        <f>IF(E97&gt;E98,E97-E98,0)</f>
        <v>111423027</v>
      </c>
      <c r="G99" s="53">
        <f>F99*(B99-C99)/100</f>
        <v>111423.02700000002</v>
      </c>
      <c r="H99" s="53"/>
      <c r="I99" s="53">
        <f>F99*C99/100</f>
        <v>0</v>
      </c>
      <c r="J99" s="53"/>
      <c r="K99" s="53"/>
      <c r="L99" s="53">
        <f>G99+H99+I99-J99+K99</f>
        <v>111423.02700000002</v>
      </c>
      <c r="M99" s="53"/>
      <c r="N99" s="53">
        <f>L99-M99</f>
        <v>111423.02700000002</v>
      </c>
      <c r="O99" s="53"/>
      <c r="P99" s="53"/>
      <c r="Q99" s="53">
        <f>N99-O99-P99</f>
        <v>111423.02700000002</v>
      </c>
      <c r="T99" s="53"/>
    </row>
    <row r="100" spans="1:20">
      <c r="A100" s="47" t="s">
        <v>17</v>
      </c>
      <c r="B100" s="48">
        <f t="shared" ref="B100:C103" si="46">B$98</f>
        <v>0.1</v>
      </c>
      <c r="C100" s="48">
        <f t="shared" si="46"/>
        <v>0</v>
      </c>
      <c r="E100" s="173"/>
      <c r="F100" s="417">
        <v>82598810</v>
      </c>
      <c r="G100" s="53"/>
      <c r="H100" s="53">
        <f>F100*(B100-C100)/100</f>
        <v>82598.81</v>
      </c>
      <c r="I100" s="53">
        <f>F100*C100/100</f>
        <v>0</v>
      </c>
      <c r="J100" s="53">
        <v>0</v>
      </c>
      <c r="K100" s="53">
        <v>0</v>
      </c>
      <c r="L100" s="53">
        <f>G100+H100+I100-J100+K100</f>
        <v>82598.81</v>
      </c>
      <c r="M100" s="53">
        <v>0</v>
      </c>
      <c r="N100" s="53">
        <f>L100-M100</f>
        <v>82598.81</v>
      </c>
      <c r="O100" s="53">
        <v>0</v>
      </c>
      <c r="P100" s="53">
        <v>0</v>
      </c>
      <c r="Q100" s="53">
        <f>N100-O100-P100</f>
        <v>82598.81</v>
      </c>
      <c r="T100" s="53"/>
    </row>
    <row r="101" spans="1:20">
      <c r="A101" s="47" t="s">
        <v>18</v>
      </c>
      <c r="B101" s="48"/>
      <c r="C101" s="48"/>
      <c r="E101" s="173"/>
      <c r="F101" s="41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S101" s="53">
        <f>+Q90+Q102</f>
        <v>498840.77</v>
      </c>
      <c r="T101" s="53"/>
    </row>
    <row r="102" spans="1:20" ht="15">
      <c r="A102" s="67" t="s">
        <v>19</v>
      </c>
      <c r="B102" s="48">
        <f>B$98</f>
        <v>0.1</v>
      </c>
      <c r="C102" s="48">
        <f t="shared" ref="C102" si="47">C$86</f>
        <v>0</v>
      </c>
      <c r="E102" s="173"/>
      <c r="F102" s="485">
        <v>62453748.93</v>
      </c>
      <c r="G102" s="53">
        <f>66034.07*S105</f>
        <v>7768.7141176470604</v>
      </c>
      <c r="H102" s="53">
        <f>484711.68*S105</f>
        <v>57024.903529411771</v>
      </c>
      <c r="I102" s="53">
        <v>0</v>
      </c>
      <c r="J102" s="53">
        <f>19888.94*S105</f>
        <v>2339.8752941176472</v>
      </c>
      <c r="K102" s="53">
        <v>0</v>
      </c>
      <c r="L102" s="53">
        <f>G102+H102+I102-J102+K102</f>
        <v>62453.742352941183</v>
      </c>
      <c r="M102" s="53">
        <f>31975.34*S105</f>
        <v>3761.8047058823536</v>
      </c>
      <c r="N102" s="53">
        <f>L102-M102</f>
        <v>58691.937647058832</v>
      </c>
      <c r="O102" s="53">
        <v>4.6100000000000003</v>
      </c>
      <c r="P102" s="53">
        <v>0</v>
      </c>
      <c r="Q102" s="53">
        <f>N102-O102-P102</f>
        <v>58687.327647058832</v>
      </c>
      <c r="S102" s="381">
        <f>Q103-G103</f>
        <v>7.770588235294781</v>
      </c>
      <c r="T102" s="53"/>
    </row>
    <row r="103" spans="1:20">
      <c r="A103" s="67" t="s">
        <v>20</v>
      </c>
      <c r="B103" s="48">
        <f t="shared" si="46"/>
        <v>0.1</v>
      </c>
      <c r="C103" s="48">
        <f t="shared" si="46"/>
        <v>0</v>
      </c>
      <c r="E103" s="173"/>
      <c r="F103" s="566">
        <v>11878883.789999999</v>
      </c>
      <c r="G103" s="566">
        <f>100901.62*S105</f>
        <v>11870.778823529412</v>
      </c>
      <c r="H103" s="566">
        <f>68.93*S105</f>
        <v>8.1094117647058841</v>
      </c>
      <c r="I103" s="53">
        <v>0</v>
      </c>
      <c r="J103" s="53">
        <v>0</v>
      </c>
      <c r="K103" s="53">
        <v>0</v>
      </c>
      <c r="L103" s="53">
        <f>G103+H103+I103-J103+K103</f>
        <v>11878.888235294118</v>
      </c>
      <c r="M103" s="53">
        <v>0</v>
      </c>
      <c r="N103" s="53">
        <f>L103-M103</f>
        <v>11878.888235294118</v>
      </c>
      <c r="O103" s="53">
        <f>2.88*S105</f>
        <v>0.33882352941176475</v>
      </c>
      <c r="P103" s="53">
        <v>0</v>
      </c>
      <c r="Q103" s="53">
        <f>N103-O103-P103</f>
        <v>11878.549411764707</v>
      </c>
      <c r="S103" s="53">
        <f>Q102+Q103</f>
        <v>70565.877058823535</v>
      </c>
      <c r="T103" s="53"/>
    </row>
    <row r="104" spans="1:20">
      <c r="A104" s="47"/>
      <c r="B104" s="48"/>
      <c r="C104" s="48"/>
      <c r="E104" s="173"/>
      <c r="F104" s="41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T104" s="53"/>
    </row>
    <row r="105" spans="1:20" s="50" customFormat="1">
      <c r="A105" s="57" t="s">
        <v>33</v>
      </c>
      <c r="B105" s="51">
        <f>B$98</f>
        <v>0.1</v>
      </c>
      <c r="C105" s="51">
        <f>C$98</f>
        <v>0</v>
      </c>
      <c r="D105" s="78">
        <f t="shared" ref="D105:Q105" si="48">SUM(D98:D100,D102:D103)</f>
        <v>27985</v>
      </c>
      <c r="E105" s="206"/>
      <c r="F105" s="426">
        <f t="shared" si="48"/>
        <v>5214250875.7200003</v>
      </c>
      <c r="G105" s="79">
        <f t="shared" si="48"/>
        <v>159444.97994117648</v>
      </c>
      <c r="H105" s="79">
        <f t="shared" si="48"/>
        <v>5074892.3229411766</v>
      </c>
      <c r="I105" s="79">
        <f t="shared" si="48"/>
        <v>0</v>
      </c>
      <c r="J105" s="79">
        <f t="shared" si="48"/>
        <v>20128.125294117646</v>
      </c>
      <c r="K105" s="79">
        <f t="shared" si="48"/>
        <v>162.57</v>
      </c>
      <c r="L105" s="79">
        <f t="shared" si="48"/>
        <v>5214371.747588235</v>
      </c>
      <c r="M105" s="79">
        <f t="shared" si="48"/>
        <v>633423.42470588232</v>
      </c>
      <c r="N105" s="79">
        <f t="shared" si="48"/>
        <v>4580948.3228823524</v>
      </c>
      <c r="O105" s="79">
        <f t="shared" si="48"/>
        <v>4.9488235294117651</v>
      </c>
      <c r="P105" s="79">
        <f t="shared" si="48"/>
        <v>0</v>
      </c>
      <c r="Q105" s="79">
        <f t="shared" si="48"/>
        <v>4580943.3740588231</v>
      </c>
      <c r="S105" s="183">
        <f>B105/B107</f>
        <v>0.11764705882352942</v>
      </c>
      <c r="T105" s="59"/>
    </row>
    <row r="106" spans="1:20">
      <c r="A106" s="47"/>
      <c r="B106" s="48"/>
      <c r="C106" s="48"/>
      <c r="E106" s="173"/>
      <c r="F106" s="41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T106" s="53"/>
    </row>
    <row r="107" spans="1:20" s="50" customFormat="1" ht="13.5" thickBot="1">
      <c r="A107" s="60" t="s">
        <v>34</v>
      </c>
      <c r="B107" s="68">
        <f>B93+B105</f>
        <v>0.85</v>
      </c>
      <c r="C107" s="68">
        <f>C93+C105</f>
        <v>0</v>
      </c>
      <c r="D107" s="69">
        <f>D93</f>
        <v>27985</v>
      </c>
      <c r="E107" s="204"/>
      <c r="F107" s="414">
        <f>F93</f>
        <v>5214250806.3866673</v>
      </c>
      <c r="G107" s="70">
        <f t="shared" ref="G107:Q107" si="49">G93+G105</f>
        <v>1355282.3295</v>
      </c>
      <c r="H107" s="70">
        <f t="shared" si="49"/>
        <v>42912636.225000001</v>
      </c>
      <c r="I107" s="70">
        <f t="shared" si="49"/>
        <v>0</v>
      </c>
      <c r="J107" s="70">
        <f t="shared" si="49"/>
        <v>171044.36999999997</v>
      </c>
      <c r="K107" s="70">
        <f t="shared" si="49"/>
        <v>1085.94</v>
      </c>
      <c r="L107" s="70">
        <f t="shared" si="49"/>
        <v>44097960.124499992</v>
      </c>
      <c r="M107" s="70">
        <f t="shared" si="49"/>
        <v>5116362.6900000004</v>
      </c>
      <c r="N107" s="70">
        <f t="shared" si="49"/>
        <v>38981597.434499994</v>
      </c>
      <c r="O107" s="70">
        <f t="shared" si="49"/>
        <v>900721.42999999993</v>
      </c>
      <c r="P107" s="70">
        <f t="shared" si="49"/>
        <v>0</v>
      </c>
      <c r="Q107" s="70">
        <f t="shared" si="49"/>
        <v>38080876.004499987</v>
      </c>
      <c r="T107" s="59"/>
    </row>
    <row r="108" spans="1:20" s="50" customFormat="1">
      <c r="A108" s="150" t="s">
        <v>355</v>
      </c>
      <c r="B108" s="51"/>
      <c r="C108" s="51"/>
      <c r="D108" s="52"/>
      <c r="E108" s="203"/>
      <c r="F108" s="427">
        <v>5064881832</v>
      </c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T108" s="59"/>
    </row>
    <row r="109" spans="1:20" s="50" customFormat="1">
      <c r="A109" s="151" t="s">
        <v>30</v>
      </c>
      <c r="B109" s="51"/>
      <c r="C109" s="51"/>
      <c r="D109" s="52"/>
      <c r="E109" s="203"/>
      <c r="F109" s="427">
        <f>(F107-F108)</f>
        <v>149368974.38666725</v>
      </c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T109" s="59"/>
    </row>
    <row r="110" spans="1:20">
      <c r="A110" s="54" t="s">
        <v>71</v>
      </c>
      <c r="B110" s="48"/>
      <c r="C110" s="48"/>
      <c r="E110" s="173"/>
      <c r="F110" s="413"/>
      <c r="G110" s="6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T110" s="53"/>
    </row>
    <row r="111" spans="1:20">
      <c r="A111" s="50"/>
      <c r="B111" s="51"/>
      <c r="C111" s="51"/>
      <c r="D111" s="52"/>
      <c r="E111" s="65">
        <v>7367761</v>
      </c>
      <c r="F111" s="27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T111" s="53"/>
    </row>
    <row r="112" spans="1:20">
      <c r="A112" s="49" t="s">
        <v>15</v>
      </c>
      <c r="B112" s="48">
        <v>0.66769999999999996</v>
      </c>
      <c r="C112" s="48">
        <v>0</v>
      </c>
      <c r="D112" s="433">
        <v>2419</v>
      </c>
      <c r="E112" s="173">
        <f>G112/B112*100</f>
        <v>650044.93035794527</v>
      </c>
      <c r="F112" s="412">
        <v>280409033</v>
      </c>
      <c r="G112" s="53">
        <v>4340.3500000000004</v>
      </c>
      <c r="H112" s="53">
        <v>1876500.77</v>
      </c>
      <c r="I112" s="53">
        <v>0</v>
      </c>
      <c r="J112" s="53">
        <v>8557.26</v>
      </c>
      <c r="K112" s="53">
        <v>35.83</v>
      </c>
      <c r="L112" s="53">
        <f>G112+H112+I112-J112+K112</f>
        <v>1872319.6900000002</v>
      </c>
      <c r="M112" s="53">
        <v>227174.98</v>
      </c>
      <c r="N112" s="53">
        <f t="shared" ref="N112:N118" si="50">L112-M112</f>
        <v>1645144.7100000002</v>
      </c>
      <c r="O112" s="53">
        <v>0</v>
      </c>
      <c r="P112" s="53">
        <v>0</v>
      </c>
      <c r="Q112" s="53">
        <f>N112-O112-P112</f>
        <v>1645144.7100000002</v>
      </c>
      <c r="T112" s="53"/>
    </row>
    <row r="113" spans="1:20">
      <c r="A113" s="47" t="s">
        <v>16</v>
      </c>
      <c r="B113" s="48">
        <f>B$112</f>
        <v>0.66769999999999996</v>
      </c>
      <c r="C113" s="48">
        <f>C$112</f>
        <v>0</v>
      </c>
      <c r="E113" s="173"/>
      <c r="F113" s="416">
        <f>IF(E111&gt;E112,E111-E112,0)</f>
        <v>6717716.0696420548</v>
      </c>
      <c r="G113" s="53">
        <f>F113*(B113-C113)/100</f>
        <v>44854.190197000004</v>
      </c>
      <c r="H113" s="53"/>
      <c r="I113" s="53">
        <f>F113*C113/100</f>
        <v>0</v>
      </c>
      <c r="J113" s="53"/>
      <c r="K113" s="53"/>
      <c r="L113" s="53">
        <f>G113+H113+I113-J113+K113</f>
        <v>44854.190197000004</v>
      </c>
      <c r="M113" s="53"/>
      <c r="N113" s="53">
        <f t="shared" si="50"/>
        <v>44854.190197000004</v>
      </c>
      <c r="O113" s="53"/>
      <c r="P113" s="53"/>
      <c r="Q113" s="53">
        <f>N113-O113-P113</f>
        <v>44854.190197000004</v>
      </c>
      <c r="T113" s="53"/>
    </row>
    <row r="114" spans="1:20">
      <c r="A114" s="47" t="s">
        <v>17</v>
      </c>
      <c r="B114" s="48">
        <f t="shared" ref="B114:C117" si="51">B$112</f>
        <v>0.66769999999999996</v>
      </c>
      <c r="C114" s="48">
        <f t="shared" si="51"/>
        <v>0</v>
      </c>
      <c r="E114" s="173"/>
      <c r="F114" s="417">
        <v>8000933</v>
      </c>
      <c r="G114" s="53"/>
      <c r="H114" s="53">
        <f>F114*(B114-C114)/100</f>
        <v>53422.229640999998</v>
      </c>
      <c r="I114" s="53">
        <f>F114*C114/100</f>
        <v>0</v>
      </c>
      <c r="J114" s="53">
        <v>0</v>
      </c>
      <c r="K114" s="53">
        <v>0</v>
      </c>
      <c r="L114" s="53">
        <f>G114+H114+I114-J114+K114</f>
        <v>53422.229640999998</v>
      </c>
      <c r="M114" s="53">
        <v>0</v>
      </c>
      <c r="N114" s="53">
        <f t="shared" si="50"/>
        <v>53422.229640999998</v>
      </c>
      <c r="O114" s="53">
        <v>0</v>
      </c>
      <c r="P114" s="53">
        <v>0</v>
      </c>
      <c r="Q114" s="53">
        <f>N114-O114-P114</f>
        <v>53422.229640999998</v>
      </c>
      <c r="T114" s="53"/>
    </row>
    <row r="115" spans="1:20">
      <c r="A115" s="47" t="s">
        <v>18</v>
      </c>
      <c r="B115" s="48"/>
      <c r="C115" s="48"/>
      <c r="E115" s="173"/>
      <c r="F115" s="413"/>
      <c r="G115" s="53"/>
      <c r="H115" s="53"/>
      <c r="I115" s="53"/>
      <c r="J115" s="53"/>
      <c r="K115" s="53"/>
      <c r="L115" s="53"/>
      <c r="M115" s="53"/>
      <c r="N115" s="53">
        <f t="shared" si="50"/>
        <v>0</v>
      </c>
      <c r="O115" s="53"/>
      <c r="P115" s="53"/>
      <c r="Q115" s="53"/>
      <c r="T115" s="53"/>
    </row>
    <row r="116" spans="1:20">
      <c r="A116" s="67" t="s">
        <v>19</v>
      </c>
      <c r="B116" s="48">
        <f t="shared" si="51"/>
        <v>0.66769999999999996</v>
      </c>
      <c r="C116" s="48">
        <f t="shared" si="51"/>
        <v>0</v>
      </c>
      <c r="E116" s="173"/>
      <c r="F116" s="413">
        <v>2802612.85</v>
      </c>
      <c r="G116" s="53">
        <v>498.28</v>
      </c>
      <c r="H116" s="53">
        <v>18218.560000000001</v>
      </c>
      <c r="I116" s="53">
        <v>0</v>
      </c>
      <c r="J116" s="53">
        <v>568.35</v>
      </c>
      <c r="K116" s="53">
        <v>0</v>
      </c>
      <c r="L116" s="53">
        <f>G116+H116+I116-J116+K116</f>
        <v>18148.490000000002</v>
      </c>
      <c r="M116" s="53">
        <v>921.71</v>
      </c>
      <c r="N116" s="53">
        <f t="shared" si="50"/>
        <v>17226.780000000002</v>
      </c>
      <c r="O116" s="53">
        <v>0</v>
      </c>
      <c r="P116" s="53">
        <v>0</v>
      </c>
      <c r="Q116" s="53">
        <f>N116-O116-P116</f>
        <v>17226.780000000002</v>
      </c>
      <c r="T116" s="53"/>
    </row>
    <row r="117" spans="1:20">
      <c r="A117" s="67" t="s">
        <v>20</v>
      </c>
      <c r="B117" s="48">
        <f t="shared" si="51"/>
        <v>0.66769999999999996</v>
      </c>
      <c r="C117" s="48">
        <f t="shared" si="51"/>
        <v>0</v>
      </c>
      <c r="E117" s="173"/>
      <c r="F117" s="413">
        <v>486165.97</v>
      </c>
      <c r="G117" s="53">
        <v>3246.13</v>
      </c>
      <c r="H117" s="53">
        <v>0</v>
      </c>
      <c r="I117" s="53">
        <v>0</v>
      </c>
      <c r="J117" s="53">
        <v>0</v>
      </c>
      <c r="K117" s="53">
        <v>0</v>
      </c>
      <c r="L117" s="53">
        <f>G117+H117+I117-J117+K117</f>
        <v>3246.13</v>
      </c>
      <c r="M117" s="53">
        <v>0</v>
      </c>
      <c r="N117" s="53">
        <f t="shared" si="50"/>
        <v>3246.13</v>
      </c>
      <c r="O117" s="53">
        <v>0</v>
      </c>
      <c r="P117" s="53">
        <v>0</v>
      </c>
      <c r="Q117" s="53">
        <f>N117-O117-P117</f>
        <v>3246.13</v>
      </c>
      <c r="S117" s="53">
        <f>Q116+Q117</f>
        <v>20472.910000000003</v>
      </c>
      <c r="T117" s="53"/>
    </row>
    <row r="118" spans="1:20">
      <c r="A118" s="47"/>
      <c r="B118" s="48"/>
      <c r="C118" s="48"/>
      <c r="E118" s="173"/>
      <c r="F118" s="413"/>
      <c r="G118" s="53"/>
      <c r="H118" s="53"/>
      <c r="I118" s="53"/>
      <c r="J118" s="53"/>
      <c r="K118" s="53"/>
      <c r="L118" s="53"/>
      <c r="M118" s="53"/>
      <c r="N118" s="53">
        <f t="shared" si="50"/>
        <v>0</v>
      </c>
      <c r="O118" s="53"/>
      <c r="P118" s="53"/>
      <c r="Q118" s="53"/>
      <c r="T118" s="53"/>
    </row>
    <row r="119" spans="1:20" s="50" customFormat="1" ht="13.5" thickBot="1">
      <c r="A119" s="160" t="str">
        <f>"TOTAL "&amp; A110</f>
        <v>TOTAL GARDNERVILLE TOWN</v>
      </c>
      <c r="B119" s="68">
        <f>B112</f>
        <v>0.66769999999999996</v>
      </c>
      <c r="C119" s="68">
        <f>C112</f>
        <v>0</v>
      </c>
      <c r="D119" s="69">
        <f t="shared" ref="D119:Q119" si="52">SUM(D112:D114,D116:D117)</f>
        <v>2419</v>
      </c>
      <c r="E119" s="204"/>
      <c r="F119" s="414">
        <f t="shared" si="52"/>
        <v>298416460.88964212</v>
      </c>
      <c r="G119" s="70">
        <f t="shared" si="52"/>
        <v>52938.950196999998</v>
      </c>
      <c r="H119" s="70">
        <f t="shared" si="52"/>
        <v>1948141.5596410001</v>
      </c>
      <c r="I119" s="70">
        <f t="shared" si="52"/>
        <v>0</v>
      </c>
      <c r="J119" s="70">
        <f t="shared" si="52"/>
        <v>9125.61</v>
      </c>
      <c r="K119" s="70">
        <f t="shared" si="52"/>
        <v>35.83</v>
      </c>
      <c r="L119" s="70">
        <f t="shared" si="52"/>
        <v>1991990.7298380001</v>
      </c>
      <c r="M119" s="70">
        <f t="shared" si="52"/>
        <v>228096.69</v>
      </c>
      <c r="N119" s="70">
        <f t="shared" si="52"/>
        <v>1763894.0398380002</v>
      </c>
      <c r="O119" s="70">
        <f t="shared" si="52"/>
        <v>0</v>
      </c>
      <c r="P119" s="70">
        <f t="shared" si="52"/>
        <v>0</v>
      </c>
      <c r="Q119" s="70">
        <f t="shared" si="52"/>
        <v>1763894.0398380002</v>
      </c>
      <c r="T119" s="59"/>
    </row>
    <row r="120" spans="1:20">
      <c r="A120" s="150" t="s">
        <v>355</v>
      </c>
      <c r="B120" s="48"/>
      <c r="C120" s="48"/>
      <c r="E120" s="173"/>
      <c r="F120" s="428">
        <v>298331912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T120" s="53"/>
    </row>
    <row r="121" spans="1:20">
      <c r="A121" s="151" t="s">
        <v>30</v>
      </c>
      <c r="B121" s="48"/>
      <c r="C121" s="48"/>
      <c r="E121" s="173"/>
      <c r="F121" s="429">
        <f>F119-F120</f>
        <v>84548.889642119408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T121" s="53"/>
    </row>
    <row r="122" spans="1:20">
      <c r="A122" s="54" t="s">
        <v>72</v>
      </c>
      <c r="B122" s="51"/>
      <c r="C122" s="51"/>
      <c r="D122" s="52"/>
      <c r="E122" s="203"/>
      <c r="F122" s="411"/>
      <c r="G122" s="6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T122" s="53"/>
    </row>
    <row r="123" spans="1:20">
      <c r="A123" s="47"/>
      <c r="B123" s="48"/>
      <c r="C123" s="48"/>
      <c r="E123" s="65">
        <v>344377</v>
      </c>
      <c r="F123" s="41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T123" s="53"/>
    </row>
    <row r="124" spans="1:20">
      <c r="A124" s="49" t="s">
        <v>15</v>
      </c>
      <c r="B124" s="475">
        <v>0.63239999999999996</v>
      </c>
      <c r="C124" s="48">
        <v>0</v>
      </c>
      <c r="D124" s="43">
        <v>140</v>
      </c>
      <c r="E124" s="173">
        <f>G124/B124*100</f>
        <v>17160.025300442758</v>
      </c>
      <c r="F124" s="412">
        <v>21383459</v>
      </c>
      <c r="G124" s="53">
        <v>108.52</v>
      </c>
      <c r="H124" s="53">
        <v>135638.39000000001</v>
      </c>
      <c r="I124" s="53">
        <v>0</v>
      </c>
      <c r="J124" s="53">
        <v>517.92999999999995</v>
      </c>
      <c r="K124" s="53">
        <v>0</v>
      </c>
      <c r="L124" s="53">
        <f>G124+H124+I124-J124+K124</f>
        <v>135228.98000000001</v>
      </c>
      <c r="M124" s="18">
        <v>42101.37</v>
      </c>
      <c r="N124" s="53">
        <f>L124-M124</f>
        <v>93127.610000000015</v>
      </c>
      <c r="O124" s="53">
        <v>0</v>
      </c>
      <c r="P124" s="53">
        <v>0</v>
      </c>
      <c r="Q124" s="53">
        <f>N124-O124-P124</f>
        <v>93127.610000000015</v>
      </c>
      <c r="T124" s="53"/>
    </row>
    <row r="125" spans="1:20">
      <c r="A125" s="47" t="s">
        <v>16</v>
      </c>
      <c r="B125" s="475">
        <f>B$124</f>
        <v>0.63239999999999996</v>
      </c>
      <c r="C125" s="48">
        <f>C$124</f>
        <v>0</v>
      </c>
      <c r="E125" s="173"/>
      <c r="F125" s="416">
        <f>IF(E123&gt;E124,E123-E124,0)</f>
        <v>327216.97469955723</v>
      </c>
      <c r="G125" s="53">
        <f>F125*(B125-C125)/100</f>
        <v>2069.3201479999998</v>
      </c>
      <c r="H125" s="53"/>
      <c r="I125" s="53">
        <f>F125*C125/100</f>
        <v>0</v>
      </c>
      <c r="J125" s="53"/>
      <c r="K125" s="53"/>
      <c r="L125" s="53">
        <f>G125+H125+I125-J125+K125</f>
        <v>2069.3201479999998</v>
      </c>
      <c r="M125" s="53"/>
      <c r="N125" s="53">
        <f>L125-M125</f>
        <v>2069.3201479999998</v>
      </c>
      <c r="O125" s="53"/>
      <c r="P125" s="53"/>
      <c r="Q125" s="53">
        <f>N125-O125-P125</f>
        <v>2069.3201479999998</v>
      </c>
      <c r="T125" s="53"/>
    </row>
    <row r="126" spans="1:20">
      <c r="A126" s="47" t="s">
        <v>17</v>
      </c>
      <c r="B126" s="475">
        <f t="shared" ref="B126:C129" si="53">B$124</f>
        <v>0.63239999999999996</v>
      </c>
      <c r="C126" s="48">
        <f t="shared" si="53"/>
        <v>0</v>
      </c>
      <c r="E126" s="173"/>
      <c r="F126" s="417">
        <v>536172</v>
      </c>
      <c r="G126" s="53"/>
      <c r="H126" s="53">
        <f>F126*(B126-C126)/100</f>
        <v>3390.7517280000002</v>
      </c>
      <c r="I126" s="53">
        <f>F126*C126/100</f>
        <v>0</v>
      </c>
      <c r="J126" s="53">
        <v>0</v>
      </c>
      <c r="K126" s="53">
        <v>0</v>
      </c>
      <c r="L126" s="53">
        <f>G126+H126+I126-J126+K126</f>
        <v>3390.7517280000002</v>
      </c>
      <c r="M126" s="53">
        <v>0</v>
      </c>
      <c r="N126" s="53">
        <f>L126-M126</f>
        <v>3390.7517280000002</v>
      </c>
      <c r="O126" s="53">
        <v>0</v>
      </c>
      <c r="P126" s="53">
        <v>0</v>
      </c>
      <c r="Q126" s="53">
        <f>N126-O126-P126</f>
        <v>3390.7517280000002</v>
      </c>
      <c r="T126" s="53"/>
    </row>
    <row r="127" spans="1:20">
      <c r="A127" s="47" t="s">
        <v>18</v>
      </c>
      <c r="B127" s="475"/>
      <c r="C127" s="48"/>
      <c r="E127" s="173"/>
      <c r="F127" s="41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T127" s="53"/>
    </row>
    <row r="128" spans="1:20">
      <c r="A128" s="67" t="s">
        <v>19</v>
      </c>
      <c r="B128" s="475">
        <f t="shared" si="53"/>
        <v>0.63239999999999996</v>
      </c>
      <c r="C128" s="48">
        <f t="shared" si="53"/>
        <v>0</v>
      </c>
      <c r="E128" s="173"/>
      <c r="F128" s="413">
        <v>238749.08</v>
      </c>
      <c r="G128" s="53">
        <v>50.75</v>
      </c>
      <c r="H128" s="53">
        <v>1459.45</v>
      </c>
      <c r="I128" s="53">
        <v>0</v>
      </c>
      <c r="J128" s="53">
        <v>54.97</v>
      </c>
      <c r="K128" s="53">
        <v>0</v>
      </c>
      <c r="L128" s="53">
        <f>G128+H128+I128-J128+K128</f>
        <v>1455.23</v>
      </c>
      <c r="M128" s="53">
        <v>551.63</v>
      </c>
      <c r="N128" s="53">
        <f>L128-M128</f>
        <v>903.6</v>
      </c>
      <c r="O128" s="53">
        <v>0</v>
      </c>
      <c r="P128" s="53">
        <v>0</v>
      </c>
      <c r="Q128" s="53">
        <f>N128-O128-P128</f>
        <v>903.6</v>
      </c>
      <c r="T128" s="53"/>
    </row>
    <row r="129" spans="1:20">
      <c r="A129" s="67" t="s">
        <v>20</v>
      </c>
      <c r="B129" s="475">
        <f t="shared" si="53"/>
        <v>0.63239999999999996</v>
      </c>
      <c r="C129" s="48">
        <f t="shared" si="53"/>
        <v>0</v>
      </c>
      <c r="E129" s="173"/>
      <c r="F129" s="413">
        <v>50534.92</v>
      </c>
      <c r="G129" s="53">
        <v>318.01</v>
      </c>
      <c r="H129" s="53">
        <v>0</v>
      </c>
      <c r="I129" s="53">
        <v>0</v>
      </c>
      <c r="J129" s="53">
        <v>0</v>
      </c>
      <c r="K129" s="53">
        <v>0</v>
      </c>
      <c r="L129" s="53">
        <f>G129+H129+I129-J129+K129</f>
        <v>318.01</v>
      </c>
      <c r="M129" s="53">
        <v>0</v>
      </c>
      <c r="N129" s="53">
        <f>L129-M129</f>
        <v>318.01</v>
      </c>
      <c r="O129" s="53">
        <v>0</v>
      </c>
      <c r="P129" s="53">
        <v>0</v>
      </c>
      <c r="Q129" s="53">
        <f>N129-O129-P129</f>
        <v>318.01</v>
      </c>
      <c r="S129" s="53">
        <f>Q128+Q129</f>
        <v>1221.6100000000001</v>
      </c>
      <c r="T129" s="53"/>
    </row>
    <row r="130" spans="1:20">
      <c r="A130" s="47"/>
      <c r="B130" s="475"/>
      <c r="C130" s="48"/>
      <c r="E130" s="173"/>
      <c r="F130" s="41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T130" s="53"/>
    </row>
    <row r="131" spans="1:20" s="50" customFormat="1" ht="13.5" thickBot="1">
      <c r="A131" s="160" t="str">
        <f>"TOTAL "&amp; A122</f>
        <v>TOTAL GENOA TOWN</v>
      </c>
      <c r="B131" s="477">
        <f>B124</f>
        <v>0.63239999999999996</v>
      </c>
      <c r="C131" s="68">
        <f>C124</f>
        <v>0</v>
      </c>
      <c r="D131" s="69">
        <f t="shared" ref="D131:Q131" si="54">SUM(D124:D126,D128:D129)</f>
        <v>140</v>
      </c>
      <c r="E131" s="204"/>
      <c r="F131" s="414">
        <f t="shared" si="54"/>
        <v>22536131.974699557</v>
      </c>
      <c r="G131" s="70">
        <f t="shared" si="54"/>
        <v>2546.6001479999995</v>
      </c>
      <c r="H131" s="70">
        <f t="shared" si="54"/>
        <v>140488.59172800003</v>
      </c>
      <c r="I131" s="70">
        <f t="shared" si="54"/>
        <v>0</v>
      </c>
      <c r="J131" s="70">
        <f t="shared" si="54"/>
        <v>572.9</v>
      </c>
      <c r="K131" s="70">
        <f t="shared" si="54"/>
        <v>0</v>
      </c>
      <c r="L131" s="70">
        <f t="shared" si="54"/>
        <v>142462.29187600003</v>
      </c>
      <c r="M131" s="70">
        <f t="shared" si="54"/>
        <v>42653</v>
      </c>
      <c r="N131" s="70">
        <f t="shared" si="54"/>
        <v>99809.291876000018</v>
      </c>
      <c r="O131" s="70">
        <f t="shared" si="54"/>
        <v>0</v>
      </c>
      <c r="P131" s="70">
        <f t="shared" si="54"/>
        <v>0</v>
      </c>
      <c r="Q131" s="70">
        <f t="shared" si="54"/>
        <v>99809.291876000018</v>
      </c>
      <c r="T131" s="59"/>
    </row>
    <row r="132" spans="1:20">
      <c r="A132" s="150" t="s">
        <v>355</v>
      </c>
      <c r="B132" s="48"/>
      <c r="C132" s="48"/>
      <c r="E132" s="173"/>
      <c r="F132" s="428">
        <v>22527495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T132" s="53"/>
    </row>
    <row r="133" spans="1:20">
      <c r="A133" s="151" t="s">
        <v>30</v>
      </c>
      <c r="B133" s="48"/>
      <c r="C133" s="48"/>
      <c r="E133" s="173"/>
      <c r="F133" s="429">
        <f>F131-F132</f>
        <v>8636.9746995568275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T133" s="53"/>
    </row>
    <row r="134" spans="1:20">
      <c r="A134" s="54" t="s">
        <v>73</v>
      </c>
      <c r="B134" s="48"/>
      <c r="C134" s="48"/>
      <c r="E134" s="173"/>
      <c r="F134" s="413"/>
      <c r="G134" s="6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T134" s="53"/>
    </row>
    <row r="135" spans="1:20">
      <c r="A135" s="47"/>
      <c r="B135" s="48"/>
      <c r="C135" s="48"/>
      <c r="E135" s="65">
        <v>14594761</v>
      </c>
      <c r="F135" s="41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T135" s="53"/>
    </row>
    <row r="136" spans="1:20">
      <c r="A136" s="49" t="s">
        <v>15</v>
      </c>
      <c r="B136" s="48">
        <v>0.66769999999999996</v>
      </c>
      <c r="C136" s="48">
        <v>0</v>
      </c>
      <c r="D136" s="43">
        <v>2112</v>
      </c>
      <c r="E136" s="173">
        <f>G136/B136*100</f>
        <v>1614511.0079376968</v>
      </c>
      <c r="F136" s="412">
        <v>289986997</v>
      </c>
      <c r="G136" s="53">
        <v>10780.09</v>
      </c>
      <c r="H136" s="53">
        <v>1933641.56</v>
      </c>
      <c r="I136" s="53">
        <v>0</v>
      </c>
      <c r="J136" s="53">
        <v>8181.78</v>
      </c>
      <c r="K136" s="53">
        <v>0</v>
      </c>
      <c r="L136" s="53">
        <f>G136+H136+I136-J136+K136</f>
        <v>1936239.87</v>
      </c>
      <c r="M136" s="53">
        <v>148464.60999999999</v>
      </c>
      <c r="N136" s="53">
        <f>L136-M136</f>
        <v>1787775.2600000002</v>
      </c>
      <c r="O136" s="53">
        <v>0</v>
      </c>
      <c r="P136" s="53">
        <v>0</v>
      </c>
      <c r="Q136" s="53">
        <f>N136-O136-P136</f>
        <v>1787775.2600000002</v>
      </c>
      <c r="T136" s="53"/>
    </row>
    <row r="137" spans="1:20">
      <c r="A137" s="47" t="s">
        <v>16</v>
      </c>
      <c r="B137" s="48">
        <f>B$136</f>
        <v>0.66769999999999996</v>
      </c>
      <c r="C137" s="48">
        <f>C$136</f>
        <v>0</v>
      </c>
      <c r="E137" s="173"/>
      <c r="F137" s="416">
        <f>IF(E135&gt;E136,E135-E136,0)</f>
        <v>12980249.992062304</v>
      </c>
      <c r="G137" s="53">
        <f>F137*(B137-C137)/100</f>
        <v>86669.129197000002</v>
      </c>
      <c r="H137" s="53"/>
      <c r="I137" s="53">
        <f>F137*C137/100</f>
        <v>0</v>
      </c>
      <c r="J137" s="53"/>
      <c r="K137" s="53"/>
      <c r="L137" s="53">
        <f>G137+H137+I137-J137+K137</f>
        <v>86669.129197000002</v>
      </c>
      <c r="M137" s="53"/>
      <c r="N137" s="53">
        <f>L137-M137</f>
        <v>86669.129197000002</v>
      </c>
      <c r="O137" s="53"/>
      <c r="P137" s="53"/>
      <c r="Q137" s="53">
        <f>N137-O137-P137</f>
        <v>86669.129197000002</v>
      </c>
      <c r="T137" s="53"/>
    </row>
    <row r="138" spans="1:20">
      <c r="A138" s="47" t="s">
        <v>17</v>
      </c>
      <c r="B138" s="48">
        <f t="shared" ref="B138:C141" si="55">B$136</f>
        <v>0.66769999999999996</v>
      </c>
      <c r="C138" s="48">
        <f t="shared" si="55"/>
        <v>0</v>
      </c>
      <c r="E138" s="173"/>
      <c r="F138" s="417">
        <v>6368395</v>
      </c>
      <c r="G138" s="53"/>
      <c r="H138" s="53">
        <f>F138*(B138-C138)/100</f>
        <v>42521.773415000003</v>
      </c>
      <c r="I138" s="53">
        <f>F138*C138/100</f>
        <v>0</v>
      </c>
      <c r="J138" s="53">
        <v>0</v>
      </c>
      <c r="K138" s="53">
        <v>0</v>
      </c>
      <c r="L138" s="53">
        <f>G138+H138+I138-J138+K138</f>
        <v>42521.773415000003</v>
      </c>
      <c r="M138" s="53">
        <v>0</v>
      </c>
      <c r="N138" s="53">
        <f>L138-M138</f>
        <v>42521.773415000003</v>
      </c>
      <c r="O138" s="53">
        <v>0</v>
      </c>
      <c r="P138" s="53">
        <v>0</v>
      </c>
      <c r="Q138" s="53">
        <f>N138-O138-P138</f>
        <v>42521.773415000003</v>
      </c>
      <c r="T138" s="53"/>
    </row>
    <row r="139" spans="1:20">
      <c r="A139" s="47" t="s">
        <v>18</v>
      </c>
      <c r="B139" s="48"/>
      <c r="C139" s="48"/>
      <c r="E139" s="173"/>
      <c r="F139" s="41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T139" s="53"/>
    </row>
    <row r="140" spans="1:20">
      <c r="A140" s="67" t="s">
        <v>19</v>
      </c>
      <c r="B140" s="48">
        <f t="shared" si="55"/>
        <v>0.66769999999999996</v>
      </c>
      <c r="C140" s="48">
        <f t="shared" si="55"/>
        <v>0</v>
      </c>
      <c r="E140" s="173"/>
      <c r="F140" s="413">
        <v>2151838.21</v>
      </c>
      <c r="G140" s="53">
        <v>405.63</v>
      </c>
      <c r="H140" s="53">
        <v>13964.99</v>
      </c>
      <c r="I140" s="53">
        <v>0</v>
      </c>
      <c r="J140" s="53">
        <v>418.41</v>
      </c>
      <c r="K140" s="53">
        <v>0</v>
      </c>
      <c r="L140" s="53">
        <f>G140+H140+I140-J140+K140</f>
        <v>13952.21</v>
      </c>
      <c r="M140" s="53">
        <v>686.49</v>
      </c>
      <c r="N140" s="53">
        <f>L140-M140</f>
        <v>13265.72</v>
      </c>
      <c r="O140" s="53">
        <v>0</v>
      </c>
      <c r="P140" s="53">
        <v>0</v>
      </c>
      <c r="Q140" s="53">
        <f>N140-O140-P140</f>
        <v>13265.72</v>
      </c>
      <c r="T140" s="53"/>
    </row>
    <row r="141" spans="1:20">
      <c r="A141" s="67" t="s">
        <v>20</v>
      </c>
      <c r="B141" s="48">
        <f t="shared" si="55"/>
        <v>0.66769999999999996</v>
      </c>
      <c r="C141" s="48">
        <f t="shared" si="55"/>
        <v>0</v>
      </c>
      <c r="E141" s="173"/>
      <c r="F141" s="413">
        <v>350258.52</v>
      </c>
      <c r="G141" s="53">
        <v>2338.6799999999998</v>
      </c>
      <c r="H141" s="53"/>
      <c r="I141" s="53">
        <v>0</v>
      </c>
      <c r="J141" s="53">
        <v>0</v>
      </c>
      <c r="K141" s="53">
        <v>0</v>
      </c>
      <c r="L141" s="53">
        <f>G141+H141+I141-J141+K141</f>
        <v>2338.6799999999998</v>
      </c>
      <c r="M141" s="53">
        <v>0</v>
      </c>
      <c r="N141" s="53">
        <f>L141-M141</f>
        <v>2338.6799999999998</v>
      </c>
      <c r="O141" s="53">
        <v>0</v>
      </c>
      <c r="P141" s="53">
        <v>0</v>
      </c>
      <c r="Q141" s="53">
        <f>N141-O141-P141</f>
        <v>2338.6799999999998</v>
      </c>
      <c r="S141" s="53">
        <f>Q140+Q141</f>
        <v>15604.4</v>
      </c>
      <c r="T141" s="53"/>
    </row>
    <row r="142" spans="1:20">
      <c r="A142" s="47"/>
      <c r="B142" s="48"/>
      <c r="C142" s="48"/>
      <c r="E142" s="173"/>
      <c r="F142" s="41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T142" s="53"/>
    </row>
    <row r="143" spans="1:20" s="50" customFormat="1" ht="13.5" thickBot="1">
      <c r="A143" s="160" t="str">
        <f>"TOTAL "&amp; A134</f>
        <v>TOTAL MINDEN TOWN</v>
      </c>
      <c r="B143" s="68">
        <f>B136</f>
        <v>0.66769999999999996</v>
      </c>
      <c r="C143" s="68">
        <f>C136</f>
        <v>0</v>
      </c>
      <c r="D143" s="69">
        <f t="shared" ref="D143:Q143" si="56">SUM(D136:D138,D140:D141)</f>
        <v>2112</v>
      </c>
      <c r="E143" s="204"/>
      <c r="F143" s="414">
        <f t="shared" si="56"/>
        <v>311837738.72206229</v>
      </c>
      <c r="G143" s="70">
        <f t="shared" si="56"/>
        <v>100193.529197</v>
      </c>
      <c r="H143" s="70">
        <f t="shared" si="56"/>
        <v>1990128.323415</v>
      </c>
      <c r="I143" s="70">
        <f t="shared" si="56"/>
        <v>0</v>
      </c>
      <c r="J143" s="70">
        <f t="shared" si="56"/>
        <v>8600.19</v>
      </c>
      <c r="K143" s="70">
        <f t="shared" si="56"/>
        <v>0</v>
      </c>
      <c r="L143" s="70">
        <f t="shared" si="56"/>
        <v>2081721.662612</v>
      </c>
      <c r="M143" s="70">
        <f t="shared" si="56"/>
        <v>149151.09999999998</v>
      </c>
      <c r="N143" s="70">
        <f t="shared" si="56"/>
        <v>1932570.5626120002</v>
      </c>
      <c r="O143" s="70">
        <f t="shared" si="56"/>
        <v>0</v>
      </c>
      <c r="P143" s="70">
        <f t="shared" si="56"/>
        <v>0</v>
      </c>
      <c r="Q143" s="70">
        <f t="shared" si="56"/>
        <v>1932570.5626120002</v>
      </c>
      <c r="T143" s="59"/>
    </row>
    <row r="144" spans="1:20">
      <c r="A144" s="150" t="s">
        <v>355</v>
      </c>
      <c r="B144" s="48"/>
      <c r="C144" s="48"/>
      <c r="E144" s="173"/>
      <c r="F144" s="428">
        <v>311775491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T144" s="53"/>
    </row>
    <row r="145" spans="1:20">
      <c r="A145" s="151" t="s">
        <v>30</v>
      </c>
      <c r="B145" s="48"/>
      <c r="C145" s="48"/>
      <c r="E145" s="173"/>
      <c r="F145" s="429">
        <f>F143-F144</f>
        <v>62247.722062289715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T145" s="53"/>
    </row>
    <row r="146" spans="1:20">
      <c r="A146" s="54" t="s">
        <v>40</v>
      </c>
      <c r="F146" s="413"/>
      <c r="G146" s="6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T146" s="53"/>
    </row>
    <row r="147" spans="1:20">
      <c r="E147" s="65">
        <v>112707299</v>
      </c>
      <c r="F147" s="41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T147" s="53"/>
    </row>
    <row r="148" spans="1:20">
      <c r="A148" s="49" t="s">
        <v>15</v>
      </c>
      <c r="B148" s="48">
        <v>0.03</v>
      </c>
      <c r="C148" s="48">
        <v>0</v>
      </c>
      <c r="D148" s="43">
        <v>22716</v>
      </c>
      <c r="E148" s="173">
        <f>G148/B148*100</f>
        <v>17832800</v>
      </c>
      <c r="F148" s="408">
        <v>3291390519</v>
      </c>
      <c r="G148" s="385">
        <v>5349.84</v>
      </c>
      <c r="H148" s="385">
        <v>985809.64</v>
      </c>
      <c r="I148" s="53">
        <v>0</v>
      </c>
      <c r="J148" s="385">
        <v>3756.28</v>
      </c>
      <c r="K148" s="385">
        <v>18.260000000000002</v>
      </c>
      <c r="L148" s="53">
        <f>G148+H148+I148-J148+K148</f>
        <v>987421.46</v>
      </c>
      <c r="M148" s="385">
        <v>126007.34</v>
      </c>
      <c r="N148" s="53">
        <f>L148-M148</f>
        <v>861414.12</v>
      </c>
      <c r="O148" s="53">
        <v>0</v>
      </c>
      <c r="P148" s="53">
        <v>0</v>
      </c>
      <c r="Q148" s="53">
        <f>N148-O148-P148</f>
        <v>861414.12</v>
      </c>
      <c r="T148" s="53"/>
    </row>
    <row r="149" spans="1:20">
      <c r="A149" s="47" t="s">
        <v>16</v>
      </c>
      <c r="B149" s="48">
        <f>B$148</f>
        <v>0.03</v>
      </c>
      <c r="C149" s="48">
        <f>C$148</f>
        <v>0</v>
      </c>
      <c r="E149" s="173"/>
      <c r="F149" s="416">
        <f>IF(E147&gt;E148,E147-E148,0)</f>
        <v>94874499</v>
      </c>
      <c r="G149" s="53">
        <f>F149*(B149-C149)/100</f>
        <v>28462.349699999999</v>
      </c>
      <c r="H149" s="53"/>
      <c r="I149" s="53">
        <f>F149*C149/100</f>
        <v>0</v>
      </c>
      <c r="J149" s="53"/>
      <c r="K149" s="53"/>
      <c r="L149" s="53">
        <f>G149+H149+I149-J149+K149</f>
        <v>28462.349699999999</v>
      </c>
      <c r="M149" s="53"/>
      <c r="N149" s="53">
        <f>L149-M149</f>
        <v>28462.349699999999</v>
      </c>
      <c r="O149" s="53"/>
      <c r="P149" s="53"/>
      <c r="Q149" s="53">
        <f>N149-O149-P149</f>
        <v>28462.349699999999</v>
      </c>
      <c r="T149" s="53"/>
    </row>
    <row r="150" spans="1:20">
      <c r="A150" s="47" t="s">
        <v>17</v>
      </c>
      <c r="B150" s="48">
        <f t="shared" ref="B150:C153" si="57">B$148</f>
        <v>0.03</v>
      </c>
      <c r="C150" s="48">
        <f t="shared" si="57"/>
        <v>0</v>
      </c>
      <c r="E150" s="173"/>
      <c r="F150" s="417">
        <v>75325769</v>
      </c>
      <c r="G150" s="53"/>
      <c r="H150" s="53">
        <f>F150*(B150-C150)/100</f>
        <v>22597.7307</v>
      </c>
      <c r="I150" s="53">
        <f>F150*C150/100</f>
        <v>0</v>
      </c>
      <c r="J150" s="53">
        <v>0</v>
      </c>
      <c r="K150" s="53">
        <v>0</v>
      </c>
      <c r="L150" s="53">
        <f>G150+H150+I150-J150+K150</f>
        <v>22597.7307</v>
      </c>
      <c r="M150" s="53">
        <v>0</v>
      </c>
      <c r="N150" s="53">
        <f>L150-M150</f>
        <v>22597.7307</v>
      </c>
      <c r="O150" s="53">
        <v>0</v>
      </c>
      <c r="P150" s="53">
        <v>0</v>
      </c>
      <c r="Q150" s="53">
        <f>N150-O150-P150</f>
        <v>22597.7307</v>
      </c>
      <c r="T150" s="53"/>
    </row>
    <row r="151" spans="1:20">
      <c r="A151" s="47" t="s">
        <v>18</v>
      </c>
      <c r="B151" s="48"/>
      <c r="C151" s="48"/>
      <c r="E151" s="173"/>
      <c r="F151" s="41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T151" s="53"/>
    </row>
    <row r="152" spans="1:20">
      <c r="A152" s="67" t="s">
        <v>19</v>
      </c>
      <c r="B152" s="48">
        <f t="shared" si="57"/>
        <v>0.03</v>
      </c>
      <c r="C152" s="48">
        <f t="shared" si="57"/>
        <v>0</v>
      </c>
      <c r="E152" s="173"/>
      <c r="F152" s="413">
        <v>48295569.950000003</v>
      </c>
      <c r="G152" s="53">
        <v>462.81</v>
      </c>
      <c r="H152" s="53">
        <v>14026.02</v>
      </c>
      <c r="I152" s="53">
        <v>0</v>
      </c>
      <c r="J152" s="53">
        <v>471.09</v>
      </c>
      <c r="K152" s="53">
        <v>0</v>
      </c>
      <c r="L152" s="53">
        <f>G152+H152+I152-J152+K152</f>
        <v>14017.74</v>
      </c>
      <c r="M152" s="53">
        <v>878.14</v>
      </c>
      <c r="N152" s="53">
        <f>L152-M152</f>
        <v>13139.6</v>
      </c>
      <c r="O152" s="53">
        <v>0</v>
      </c>
      <c r="P152" s="53">
        <v>0</v>
      </c>
      <c r="Q152" s="53">
        <f>N152-O152-P152</f>
        <v>13139.6</v>
      </c>
      <c r="T152" s="53"/>
    </row>
    <row r="153" spans="1:20">
      <c r="A153" s="67" t="s">
        <v>20</v>
      </c>
      <c r="B153" s="48">
        <f t="shared" si="57"/>
        <v>0.03</v>
      </c>
      <c r="C153" s="48">
        <f t="shared" si="57"/>
        <v>0</v>
      </c>
      <c r="E153" s="173"/>
      <c r="F153" s="413">
        <v>9040112.6099999994</v>
      </c>
      <c r="G153" s="53">
        <v>2712.01</v>
      </c>
      <c r="H153" s="53"/>
      <c r="I153" s="53">
        <v>0</v>
      </c>
      <c r="J153" s="53">
        <v>0</v>
      </c>
      <c r="K153" s="53">
        <v>0</v>
      </c>
      <c r="L153" s="53">
        <f>G153+H153+I153-J153+K153</f>
        <v>2712.01</v>
      </c>
      <c r="M153" s="53">
        <v>0</v>
      </c>
      <c r="N153" s="53">
        <f>L153-M153</f>
        <v>2712.01</v>
      </c>
      <c r="O153" s="53">
        <v>0</v>
      </c>
      <c r="P153" s="53">
        <v>0</v>
      </c>
      <c r="Q153" s="53">
        <f>N153-O153-P153</f>
        <v>2712.01</v>
      </c>
      <c r="S153" s="53">
        <f>Q152+Q153</f>
        <v>15851.61</v>
      </c>
      <c r="T153" s="53"/>
    </row>
    <row r="154" spans="1:20">
      <c r="A154" s="47"/>
      <c r="B154" s="48"/>
      <c r="C154" s="48"/>
      <c r="E154" s="173"/>
      <c r="F154" s="41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T154" s="53"/>
    </row>
    <row r="155" spans="1:20" s="50" customFormat="1" ht="13.5" thickBot="1">
      <c r="A155" s="160" t="str">
        <f>"TOTAL "&amp; A146</f>
        <v>TOTAL CARSON WATER SUBCONSERVANCY</v>
      </c>
      <c r="B155" s="68">
        <f>B148</f>
        <v>0.03</v>
      </c>
      <c r="C155" s="68">
        <f>C148</f>
        <v>0</v>
      </c>
      <c r="D155" s="69">
        <f t="shared" ref="D155:Q155" si="58">SUM(D148:D150,D152:D153)</f>
        <v>22716</v>
      </c>
      <c r="E155" s="204"/>
      <c r="F155" s="414">
        <f t="shared" si="58"/>
        <v>3518926469.5599999</v>
      </c>
      <c r="G155" s="70">
        <f t="shared" si="58"/>
        <v>36987.009700000002</v>
      </c>
      <c r="H155" s="70">
        <f t="shared" si="58"/>
        <v>1022433.3907</v>
      </c>
      <c r="I155" s="70">
        <f t="shared" si="58"/>
        <v>0</v>
      </c>
      <c r="J155" s="70">
        <f t="shared" si="58"/>
        <v>4227.37</v>
      </c>
      <c r="K155" s="70">
        <f t="shared" si="58"/>
        <v>18.260000000000002</v>
      </c>
      <c r="L155" s="70">
        <f t="shared" si="58"/>
        <v>1055211.2904000001</v>
      </c>
      <c r="M155" s="70">
        <f t="shared" si="58"/>
        <v>126885.48</v>
      </c>
      <c r="N155" s="70">
        <f t="shared" si="58"/>
        <v>928325.81039999996</v>
      </c>
      <c r="O155" s="70">
        <f t="shared" si="58"/>
        <v>0</v>
      </c>
      <c r="P155" s="70">
        <f t="shared" si="58"/>
        <v>0</v>
      </c>
      <c r="Q155" s="70">
        <f t="shared" si="58"/>
        <v>928325.81039999996</v>
      </c>
      <c r="T155" s="59"/>
    </row>
    <row r="156" spans="1:20">
      <c r="A156" s="150" t="s">
        <v>355</v>
      </c>
      <c r="B156" s="48"/>
      <c r="C156" s="48"/>
      <c r="E156" s="173"/>
      <c r="F156" s="428">
        <v>3517358238</v>
      </c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T156" s="53"/>
    </row>
    <row r="157" spans="1:20">
      <c r="A157" s="151" t="s">
        <v>30</v>
      </c>
      <c r="B157" s="48"/>
      <c r="C157" s="48"/>
      <c r="E157" s="173"/>
      <c r="F157" s="429">
        <f>F155-F156</f>
        <v>1568231.5599999428</v>
      </c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T157" s="53"/>
    </row>
    <row r="158" spans="1:20">
      <c r="A158" s="54" t="s">
        <v>41</v>
      </c>
      <c r="B158" s="84"/>
      <c r="C158" s="84"/>
      <c r="D158" s="52"/>
      <c r="E158" s="210"/>
      <c r="F158" s="384"/>
      <c r="G158" s="52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T158" s="53"/>
    </row>
    <row r="159" spans="1:20">
      <c r="A159" s="83"/>
      <c r="B159" s="84"/>
      <c r="C159" s="84"/>
      <c r="D159" s="52"/>
      <c r="E159" s="65">
        <v>85010</v>
      </c>
      <c r="F159" s="384"/>
      <c r="G159" s="59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T159" s="53"/>
    </row>
    <row r="160" spans="1:20">
      <c r="A160" s="49" t="s">
        <v>15</v>
      </c>
      <c r="B160" s="475">
        <v>0.41499999999999998</v>
      </c>
      <c r="C160" s="48">
        <v>0</v>
      </c>
      <c r="D160" s="129">
        <v>92</v>
      </c>
      <c r="E160" s="173">
        <f>G160/B160*100</f>
        <v>70681.927710843374</v>
      </c>
      <c r="F160" s="408">
        <v>32878877</v>
      </c>
      <c r="G160" s="53">
        <v>293.33</v>
      </c>
      <c r="H160" s="53">
        <v>136320.20000000001</v>
      </c>
      <c r="I160" s="53">
        <v>0</v>
      </c>
      <c r="J160" s="385">
        <v>166.77</v>
      </c>
      <c r="K160" s="53">
        <v>0</v>
      </c>
      <c r="L160" s="53">
        <f>G160+H160+I160-J160+K160</f>
        <v>136446.76</v>
      </c>
      <c r="M160" s="53">
        <v>21401.82</v>
      </c>
      <c r="N160" s="53">
        <f>L160-M160</f>
        <v>115044.94</v>
      </c>
      <c r="O160" s="53">
        <v>0</v>
      </c>
      <c r="P160" s="53">
        <v>0</v>
      </c>
      <c r="Q160" s="53">
        <f>N160-O160-P160</f>
        <v>115044.94</v>
      </c>
      <c r="T160" s="53"/>
    </row>
    <row r="161" spans="1:20">
      <c r="A161" s="47" t="s">
        <v>16</v>
      </c>
      <c r="B161" s="475">
        <f>B$160</f>
        <v>0.41499999999999998</v>
      </c>
      <c r="C161" s="48">
        <f>C$160</f>
        <v>0</v>
      </c>
      <c r="E161" s="173"/>
      <c r="F161" s="416">
        <f>IF(E159&gt;E160,E159-E160,0)</f>
        <v>14328.072289156626</v>
      </c>
      <c r="G161" s="53">
        <f>F161*(B161-C161)/100</f>
        <v>59.461499999999994</v>
      </c>
      <c r="H161" s="53"/>
      <c r="I161" s="53">
        <f>F161*C161/100</f>
        <v>0</v>
      </c>
      <c r="J161" s="53"/>
      <c r="K161" s="53"/>
      <c r="L161" s="53">
        <f>G161+H161+I161-J161+K161</f>
        <v>59.461499999999994</v>
      </c>
      <c r="M161" s="53"/>
      <c r="N161" s="53">
        <f>L161-M161</f>
        <v>59.461499999999994</v>
      </c>
      <c r="O161" s="53"/>
      <c r="P161" s="53"/>
      <c r="Q161" s="53">
        <f>N161-O161-P161</f>
        <v>59.461499999999994</v>
      </c>
      <c r="T161" s="53"/>
    </row>
    <row r="162" spans="1:20">
      <c r="A162" s="47" t="s">
        <v>17</v>
      </c>
      <c r="B162" s="475">
        <f t="shared" ref="B162:C165" si="59">B$160</f>
        <v>0.41499999999999998</v>
      </c>
      <c r="C162" s="48">
        <f t="shared" si="59"/>
        <v>0</v>
      </c>
      <c r="E162" s="173"/>
      <c r="F162" s="417">
        <v>2770</v>
      </c>
      <c r="G162" s="53"/>
      <c r="H162" s="53">
        <f>F162*(B162-C162)/100</f>
        <v>11.4955</v>
      </c>
      <c r="I162" s="53">
        <f>F162*C162/100</f>
        <v>0</v>
      </c>
      <c r="J162" s="53"/>
      <c r="K162" s="53">
        <v>0</v>
      </c>
      <c r="L162" s="53">
        <f>G162+H162+I162-J162+K162</f>
        <v>11.4955</v>
      </c>
      <c r="M162" s="53">
        <v>0</v>
      </c>
      <c r="N162" s="53">
        <f>L162-M162</f>
        <v>11.4955</v>
      </c>
      <c r="O162" s="53">
        <v>0</v>
      </c>
      <c r="P162" s="53">
        <v>0</v>
      </c>
      <c r="Q162" s="53">
        <f>N162-O162-P162</f>
        <v>11.4955</v>
      </c>
      <c r="T162" s="53"/>
    </row>
    <row r="163" spans="1:20">
      <c r="A163" s="47" t="s">
        <v>18</v>
      </c>
      <c r="B163" s="475"/>
      <c r="C163" s="48"/>
      <c r="E163" s="173"/>
      <c r="F163" s="41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T163" s="53"/>
    </row>
    <row r="164" spans="1:20">
      <c r="A164" s="67" t="s">
        <v>19</v>
      </c>
      <c r="B164" s="475">
        <f t="shared" si="59"/>
        <v>0.41499999999999998</v>
      </c>
      <c r="C164" s="48">
        <f t="shared" si="59"/>
        <v>0</v>
      </c>
      <c r="E164" s="173"/>
      <c r="F164" s="413">
        <v>144150</v>
      </c>
      <c r="G164" s="53">
        <v>20.96</v>
      </c>
      <c r="H164" s="53">
        <v>577.37</v>
      </c>
      <c r="I164" s="53">
        <v>0</v>
      </c>
      <c r="J164" s="53">
        <v>24.03</v>
      </c>
      <c r="K164" s="53">
        <v>0</v>
      </c>
      <c r="L164" s="53">
        <f>G164+H164+I164-J164+K164</f>
        <v>574.30000000000007</v>
      </c>
      <c r="M164" s="53">
        <v>43.84</v>
      </c>
      <c r="N164" s="53">
        <f>L164-M164</f>
        <v>530.46</v>
      </c>
      <c r="O164" s="53">
        <v>0</v>
      </c>
      <c r="P164" s="53">
        <v>0</v>
      </c>
      <c r="Q164" s="53">
        <f>N164-O164-P164</f>
        <v>530.46</v>
      </c>
      <c r="T164" s="53"/>
    </row>
    <row r="165" spans="1:20">
      <c r="A165" s="67" t="s">
        <v>20</v>
      </c>
      <c r="B165" s="475">
        <f t="shared" si="59"/>
        <v>0.41499999999999998</v>
      </c>
      <c r="C165" s="48">
        <f t="shared" si="59"/>
        <v>0</v>
      </c>
      <c r="E165" s="173"/>
      <c r="F165" s="413">
        <v>33881.14</v>
      </c>
      <c r="G165" s="53">
        <v>139.11000000000001</v>
      </c>
      <c r="H165" s="53"/>
      <c r="I165" s="53">
        <v>0</v>
      </c>
      <c r="J165" s="53">
        <v>0</v>
      </c>
      <c r="K165" s="53">
        <v>0</v>
      </c>
      <c r="L165" s="53">
        <f>G165+H165+I165-J165+K165</f>
        <v>139.11000000000001</v>
      </c>
      <c r="M165" s="53">
        <v>0</v>
      </c>
      <c r="N165" s="53">
        <f>L165-M165</f>
        <v>139.11000000000001</v>
      </c>
      <c r="O165" s="53">
        <v>0</v>
      </c>
      <c r="P165" s="53">
        <v>0</v>
      </c>
      <c r="Q165" s="53">
        <f>N165-O165-P165</f>
        <v>139.11000000000001</v>
      </c>
      <c r="S165" s="53">
        <f>Q164+Q165</f>
        <v>669.57</v>
      </c>
      <c r="T165" s="53"/>
    </row>
    <row r="166" spans="1:20">
      <c r="A166" s="47"/>
      <c r="B166" s="475"/>
      <c r="C166" s="48"/>
      <c r="E166" s="173"/>
      <c r="F166" s="41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T166" s="53"/>
    </row>
    <row r="167" spans="1:20" s="50" customFormat="1" ht="13.5" thickBot="1">
      <c r="A167" s="160" t="str">
        <f>"TOTAL "&amp; A158</f>
        <v>TOTAL CAVE ROCK ESTATES GID</v>
      </c>
      <c r="B167" s="477">
        <f>B160</f>
        <v>0.41499999999999998</v>
      </c>
      <c r="C167" s="68">
        <f>C160</f>
        <v>0</v>
      </c>
      <c r="D167" s="69">
        <f t="shared" ref="D167:Q167" si="60">SUM(D160:D162,D164:D165)</f>
        <v>92</v>
      </c>
      <c r="E167" s="204"/>
      <c r="F167" s="414">
        <f t="shared" si="60"/>
        <v>33074006.212289158</v>
      </c>
      <c r="G167" s="70">
        <f t="shared" si="60"/>
        <v>512.86149999999998</v>
      </c>
      <c r="H167" s="70">
        <f t="shared" si="60"/>
        <v>136909.0655</v>
      </c>
      <c r="I167" s="70">
        <f t="shared" si="60"/>
        <v>0</v>
      </c>
      <c r="J167" s="70">
        <f t="shared" si="60"/>
        <v>190.8</v>
      </c>
      <c r="K167" s="70">
        <f t="shared" si="60"/>
        <v>0</v>
      </c>
      <c r="L167" s="70">
        <f t="shared" si="60"/>
        <v>137231.12699999998</v>
      </c>
      <c r="M167" s="70">
        <f t="shared" si="60"/>
        <v>21445.66</v>
      </c>
      <c r="N167" s="70">
        <f t="shared" si="60"/>
        <v>115785.46700000002</v>
      </c>
      <c r="O167" s="70">
        <f t="shared" si="60"/>
        <v>0</v>
      </c>
      <c r="P167" s="70">
        <f t="shared" si="60"/>
        <v>0</v>
      </c>
      <c r="Q167" s="70">
        <f t="shared" si="60"/>
        <v>115785.46700000002</v>
      </c>
      <c r="S167" s="59"/>
      <c r="T167" s="59"/>
    </row>
    <row r="168" spans="1:20">
      <c r="A168" s="150" t="s">
        <v>355</v>
      </c>
      <c r="B168" s="48"/>
      <c r="C168" s="48"/>
      <c r="E168" s="173"/>
      <c r="F168" s="428">
        <v>33068240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T168" s="53"/>
    </row>
    <row r="169" spans="1:20">
      <c r="A169" s="151" t="s">
        <v>30</v>
      </c>
      <c r="B169" s="48"/>
      <c r="C169" s="48"/>
      <c r="E169" s="173"/>
      <c r="F169" s="429">
        <f>F167-F168</f>
        <v>5766.2122891582549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T169" s="53"/>
    </row>
    <row r="170" spans="1:20">
      <c r="A170" s="54" t="s">
        <v>42</v>
      </c>
      <c r="F170" s="413"/>
      <c r="G170" s="6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T170" s="53"/>
    </row>
    <row r="171" spans="1:20">
      <c r="A171" s="50"/>
      <c r="B171" s="50"/>
      <c r="C171" s="50"/>
      <c r="D171" s="52"/>
      <c r="E171" s="65">
        <v>110897473</v>
      </c>
      <c r="F171" s="273"/>
      <c r="G171" s="59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T171" s="53"/>
    </row>
    <row r="172" spans="1:20">
      <c r="A172" s="49" t="s">
        <v>15</v>
      </c>
      <c r="B172" s="48">
        <v>3.4500000000000003E-2</v>
      </c>
      <c r="C172" s="48">
        <v>0</v>
      </c>
      <c r="D172" s="434">
        <v>21121</v>
      </c>
      <c r="E172" s="173">
        <f>G172/B172*100</f>
        <v>17805739.130434781</v>
      </c>
      <c r="F172" s="408">
        <v>3105554390</v>
      </c>
      <c r="G172" s="385">
        <v>6142.98</v>
      </c>
      <c r="H172" s="53">
        <v>1069508.42</v>
      </c>
      <c r="I172" s="53">
        <v>0</v>
      </c>
      <c r="J172" s="53">
        <v>4239.37</v>
      </c>
      <c r="K172" s="385">
        <v>20.059999999999999</v>
      </c>
      <c r="L172" s="53">
        <f>G172+H172+I172-J172+K172</f>
        <v>1071432.0899999999</v>
      </c>
      <c r="M172" s="53">
        <v>188033.15</v>
      </c>
      <c r="N172" s="53">
        <f>L172-M172</f>
        <v>883398.93999999983</v>
      </c>
      <c r="O172" s="53">
        <v>0</v>
      </c>
      <c r="P172" s="53">
        <v>0</v>
      </c>
      <c r="Q172" s="53">
        <f>N172-O172-P172</f>
        <v>883398.93999999983</v>
      </c>
      <c r="T172" s="53"/>
    </row>
    <row r="173" spans="1:20">
      <c r="A173" s="47" t="s">
        <v>16</v>
      </c>
      <c r="B173" s="48">
        <f>B$172</f>
        <v>3.4500000000000003E-2</v>
      </c>
      <c r="C173" s="48">
        <f>C$172</f>
        <v>0</v>
      </c>
      <c r="E173" s="173"/>
      <c r="F173" s="416">
        <f>IF(E171&gt;E172,E171-E172,0)</f>
        <v>93091733.869565219</v>
      </c>
      <c r="G173" s="53">
        <f>F173*(B173-C173)/100</f>
        <v>32116.648185000005</v>
      </c>
      <c r="H173" s="53"/>
      <c r="I173" s="53">
        <f>F173*C173/100</f>
        <v>0</v>
      </c>
      <c r="J173" s="53"/>
      <c r="K173" s="53"/>
      <c r="L173" s="53">
        <f>G173+H173+I173-J173+K173</f>
        <v>32116.648185000005</v>
      </c>
      <c r="M173" s="53"/>
      <c r="N173" s="53">
        <f>L173-M173</f>
        <v>32116.648185000005</v>
      </c>
      <c r="O173" s="53"/>
      <c r="P173" s="53"/>
      <c r="Q173" s="53">
        <f>N173-O173-P173</f>
        <v>32116.648185000005</v>
      </c>
      <c r="T173" s="53"/>
    </row>
    <row r="174" spans="1:20">
      <c r="A174" s="47" t="s">
        <v>17</v>
      </c>
      <c r="B174" s="48">
        <f t="shared" ref="B174:C177" si="61">B$172</f>
        <v>3.4500000000000003E-2</v>
      </c>
      <c r="C174" s="48">
        <f t="shared" si="61"/>
        <v>0</v>
      </c>
      <c r="E174" s="173"/>
      <c r="F174" s="417">
        <v>70292416</v>
      </c>
      <c r="G174" s="53"/>
      <c r="H174" s="53">
        <f>F174*(B174-C174)/100</f>
        <v>24250.883520000003</v>
      </c>
      <c r="I174" s="53">
        <f>F174*C174/100</f>
        <v>0</v>
      </c>
      <c r="J174" s="53"/>
      <c r="K174" s="53">
        <v>0</v>
      </c>
      <c r="L174" s="53">
        <f>G174+H174+I174-J174+K174</f>
        <v>24250.883520000003</v>
      </c>
      <c r="M174" s="53">
        <v>0</v>
      </c>
      <c r="N174" s="53">
        <f>L174-M174</f>
        <v>24250.883520000003</v>
      </c>
      <c r="O174" s="53">
        <v>0</v>
      </c>
      <c r="P174" s="53">
        <v>0</v>
      </c>
      <c r="Q174" s="53">
        <f>N174-O174-P174</f>
        <v>24250.883520000003</v>
      </c>
      <c r="T174" s="53"/>
    </row>
    <row r="175" spans="1:20">
      <c r="A175" s="47" t="s">
        <v>18</v>
      </c>
      <c r="B175" s="48"/>
      <c r="C175" s="48"/>
      <c r="E175" s="173"/>
      <c r="F175" s="41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T175" s="53"/>
    </row>
    <row r="176" spans="1:20">
      <c r="A176" s="67" t="s">
        <v>19</v>
      </c>
      <c r="B176" s="48">
        <f t="shared" si="61"/>
        <v>3.4500000000000003E-2</v>
      </c>
      <c r="C176" s="48">
        <f t="shared" si="61"/>
        <v>0</v>
      </c>
      <c r="E176" s="173"/>
      <c r="F176" s="413">
        <v>47482183.539999999</v>
      </c>
      <c r="G176" s="53">
        <v>524.46</v>
      </c>
      <c r="H176" s="53">
        <v>15857.09</v>
      </c>
      <c r="I176" s="53">
        <v>0</v>
      </c>
      <c r="J176" s="53">
        <v>535.63</v>
      </c>
      <c r="K176" s="53">
        <v>0</v>
      </c>
      <c r="L176" s="53">
        <f>G176+H176+I176-J176+K176</f>
        <v>15845.92</v>
      </c>
      <c r="M176" s="53">
        <v>9858.64</v>
      </c>
      <c r="N176" s="53">
        <f>L176-M176</f>
        <v>5987.2800000000007</v>
      </c>
      <c r="O176" s="53">
        <v>0</v>
      </c>
      <c r="P176" s="53">
        <v>0</v>
      </c>
      <c r="Q176" s="53">
        <f>N176-O176-P176</f>
        <v>5987.2800000000007</v>
      </c>
      <c r="T176" s="53"/>
    </row>
    <row r="177" spans="1:20">
      <c r="A177" s="67" t="s">
        <v>20</v>
      </c>
      <c r="B177" s="48">
        <f t="shared" si="61"/>
        <v>3.4500000000000003E-2</v>
      </c>
      <c r="C177" s="48">
        <f t="shared" si="61"/>
        <v>0</v>
      </c>
      <c r="E177" s="173"/>
      <c r="F177" s="413">
        <v>8942687.6799999997</v>
      </c>
      <c r="G177" s="53">
        <v>3085.22</v>
      </c>
      <c r="H177" s="53"/>
      <c r="I177" s="53">
        <v>0</v>
      </c>
      <c r="J177" s="53">
        <v>0</v>
      </c>
      <c r="K177" s="53">
        <v>0</v>
      </c>
      <c r="L177" s="53">
        <f>G177+H177+I177-J177+K177</f>
        <v>3085.22</v>
      </c>
      <c r="M177" s="53">
        <v>0</v>
      </c>
      <c r="N177" s="53">
        <f>L177-M177</f>
        <v>3085.22</v>
      </c>
      <c r="O177" s="53">
        <v>0</v>
      </c>
      <c r="P177" s="53">
        <v>0</v>
      </c>
      <c r="Q177" s="53">
        <f>N177-O177-P177</f>
        <v>3085.22</v>
      </c>
      <c r="S177" s="53">
        <f>Q176+Q177</f>
        <v>9072.5</v>
      </c>
      <c r="T177" s="53"/>
    </row>
    <row r="178" spans="1:20">
      <c r="A178" s="47"/>
      <c r="B178" s="48"/>
      <c r="C178" s="48"/>
      <c r="E178" s="173"/>
      <c r="F178" s="41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T178" s="53"/>
    </row>
    <row r="179" spans="1:20" s="50" customFormat="1" ht="13.5" thickBot="1">
      <c r="A179" s="160" t="str">
        <f>"TOTAL "&amp; A170</f>
        <v>TOTAL DOUGLAS COUNTY MOSQUITO ABATEMENT</v>
      </c>
      <c r="B179" s="68">
        <f>B172</f>
        <v>3.4500000000000003E-2</v>
      </c>
      <c r="C179" s="68">
        <f>C172</f>
        <v>0</v>
      </c>
      <c r="D179" s="69">
        <f t="shared" ref="D179:Q179" si="62">SUM(D172:D174,D176:D177)</f>
        <v>21121</v>
      </c>
      <c r="E179" s="204"/>
      <c r="F179" s="414">
        <f>SUM(F172:F174,F176:F177)</f>
        <v>3325363411.0895648</v>
      </c>
      <c r="G179" s="70">
        <f t="shared" si="62"/>
        <v>41869.308185000009</v>
      </c>
      <c r="H179" s="70">
        <f t="shared" si="62"/>
        <v>1109616.3935199999</v>
      </c>
      <c r="I179" s="70">
        <f t="shared" si="62"/>
        <v>0</v>
      </c>
      <c r="J179" s="70">
        <f t="shared" si="62"/>
        <v>4775</v>
      </c>
      <c r="K179" s="70">
        <f t="shared" si="62"/>
        <v>20.059999999999999</v>
      </c>
      <c r="L179" s="70">
        <f t="shared" si="62"/>
        <v>1146730.7617049997</v>
      </c>
      <c r="M179" s="70">
        <f t="shared" si="62"/>
        <v>197891.78999999998</v>
      </c>
      <c r="N179" s="70">
        <f t="shared" si="62"/>
        <v>948838.97170499992</v>
      </c>
      <c r="O179" s="70">
        <f t="shared" si="62"/>
        <v>0</v>
      </c>
      <c r="P179" s="70">
        <f t="shared" si="62"/>
        <v>0</v>
      </c>
      <c r="Q179" s="70">
        <f t="shared" si="62"/>
        <v>948838.97170499992</v>
      </c>
      <c r="T179" s="59"/>
    </row>
    <row r="180" spans="1:20">
      <c r="A180" s="150" t="s">
        <v>355</v>
      </c>
      <c r="B180" s="48"/>
      <c r="C180" s="48"/>
      <c r="E180" s="173"/>
      <c r="F180" s="428">
        <v>3323811040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T180" s="53"/>
    </row>
    <row r="181" spans="1:20">
      <c r="A181" s="151" t="s">
        <v>30</v>
      </c>
      <c r="B181" s="48"/>
      <c r="C181" s="48"/>
      <c r="E181" s="173"/>
      <c r="F181" s="429">
        <f>F179-F180</f>
        <v>1552371.0895648003</v>
      </c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T181" s="53"/>
    </row>
    <row r="182" spans="1:20" hidden="1">
      <c r="A182" s="54" t="s">
        <v>74</v>
      </c>
      <c r="F182" s="41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T182" s="53"/>
    </row>
    <row r="183" spans="1:20" hidden="1">
      <c r="A183" s="83"/>
      <c r="B183" s="84"/>
      <c r="C183" s="84"/>
      <c r="D183" s="52"/>
      <c r="E183" s="210"/>
      <c r="F183" s="384"/>
      <c r="G183" s="59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T183" s="53"/>
    </row>
    <row r="184" spans="1:20" hidden="1">
      <c r="A184" s="49" t="s">
        <v>15</v>
      </c>
      <c r="B184" s="48"/>
      <c r="C184" s="48"/>
      <c r="E184" s="173" t="e">
        <f>G184/B184*100</f>
        <v>#DIV/0!</v>
      </c>
      <c r="F184" s="412"/>
      <c r="G184" s="53"/>
      <c r="H184" s="53"/>
      <c r="I184" s="53"/>
      <c r="J184" s="53"/>
      <c r="K184" s="53"/>
      <c r="L184" s="53">
        <f>G184+H184+I184-J184+K184</f>
        <v>0</v>
      </c>
      <c r="M184" s="53"/>
      <c r="N184" s="53">
        <f>L184-M184</f>
        <v>0</v>
      </c>
      <c r="O184" s="53"/>
      <c r="P184" s="53"/>
      <c r="Q184" s="53">
        <f>N184-O184-P184</f>
        <v>0</v>
      </c>
      <c r="T184" s="53"/>
    </row>
    <row r="185" spans="1:20" hidden="1">
      <c r="A185" s="47" t="s">
        <v>16</v>
      </c>
      <c r="B185" s="48">
        <f>B$184</f>
        <v>0</v>
      </c>
      <c r="C185" s="48">
        <f>C$184</f>
        <v>0</v>
      </c>
      <c r="E185" s="173"/>
      <c r="F185" s="416"/>
      <c r="G185" s="53">
        <f>F185*(B185-C185)/100</f>
        <v>0</v>
      </c>
      <c r="H185" s="53"/>
      <c r="I185" s="53">
        <f>F185*C185/100</f>
        <v>0</v>
      </c>
      <c r="J185" s="53"/>
      <c r="K185" s="53"/>
      <c r="L185" s="53">
        <f>G185+H185+I185-J185+K185</f>
        <v>0</v>
      </c>
      <c r="M185" s="53"/>
      <c r="N185" s="53">
        <f>L185-M185</f>
        <v>0</v>
      </c>
      <c r="O185" s="53"/>
      <c r="P185" s="53"/>
      <c r="Q185" s="53">
        <f>N185-O185-P185</f>
        <v>0</v>
      </c>
      <c r="T185" s="53"/>
    </row>
    <row r="186" spans="1:20" hidden="1">
      <c r="A186" s="47" t="s">
        <v>17</v>
      </c>
      <c r="B186" s="48">
        <f>B$184</f>
        <v>0</v>
      </c>
      <c r="C186" s="48">
        <f>C$184</f>
        <v>0</v>
      </c>
      <c r="E186" s="173"/>
      <c r="F186" s="417"/>
      <c r="G186" s="53"/>
      <c r="H186" s="53">
        <f>F186*(B186-C186)/100</f>
        <v>0</v>
      </c>
      <c r="I186" s="53">
        <f>F186*C186/100</f>
        <v>0</v>
      </c>
      <c r="J186" s="53"/>
      <c r="K186" s="53"/>
      <c r="L186" s="53">
        <f>G186+H186+I186-J186+K186</f>
        <v>0</v>
      </c>
      <c r="M186" s="53"/>
      <c r="N186" s="53">
        <f>L186-M186</f>
        <v>0</v>
      </c>
      <c r="O186" s="53"/>
      <c r="P186" s="53"/>
      <c r="Q186" s="53">
        <f>N186-O186-P186</f>
        <v>0</v>
      </c>
      <c r="T186" s="53"/>
    </row>
    <row r="187" spans="1:20" hidden="1">
      <c r="A187" s="47" t="s">
        <v>18</v>
      </c>
      <c r="B187" s="48"/>
      <c r="C187" s="48"/>
      <c r="E187" s="173"/>
      <c r="F187" s="41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T187" s="53"/>
    </row>
    <row r="188" spans="1:20" hidden="1">
      <c r="A188" s="67" t="s">
        <v>19</v>
      </c>
      <c r="B188" s="48">
        <f>B$184</f>
        <v>0</v>
      </c>
      <c r="C188" s="48">
        <f>C$184</f>
        <v>0</v>
      </c>
      <c r="E188" s="173"/>
      <c r="F188" s="413"/>
      <c r="G188" s="53"/>
      <c r="H188" s="53"/>
      <c r="I188" s="53"/>
      <c r="J188" s="53"/>
      <c r="K188" s="53"/>
      <c r="L188" s="53">
        <f>G188+H188+I188-J188+K188</f>
        <v>0</v>
      </c>
      <c r="M188" s="53"/>
      <c r="N188" s="53">
        <f>L188-M188</f>
        <v>0</v>
      </c>
      <c r="O188" s="53"/>
      <c r="P188" s="53"/>
      <c r="Q188" s="53">
        <f>N188-O188-P188</f>
        <v>0</v>
      </c>
      <c r="T188" s="53"/>
    </row>
    <row r="189" spans="1:20" hidden="1">
      <c r="A189" s="67" t="s">
        <v>20</v>
      </c>
      <c r="B189" s="48">
        <f>B$184</f>
        <v>0</v>
      </c>
      <c r="C189" s="48">
        <f>C$184</f>
        <v>0</v>
      </c>
      <c r="E189" s="173"/>
      <c r="F189" s="413"/>
      <c r="G189" s="53"/>
      <c r="H189" s="53"/>
      <c r="I189" s="53"/>
      <c r="J189" s="53"/>
      <c r="K189" s="53"/>
      <c r="L189" s="53">
        <f>G189+H189+I189-J189+K189</f>
        <v>0</v>
      </c>
      <c r="M189" s="53"/>
      <c r="N189" s="53">
        <f>L189-M189</f>
        <v>0</v>
      </c>
      <c r="O189" s="53"/>
      <c r="P189" s="53"/>
      <c r="Q189" s="53">
        <f>N189-O189-P189</f>
        <v>0</v>
      </c>
      <c r="T189" s="53"/>
    </row>
    <row r="190" spans="1:20" hidden="1">
      <c r="A190" s="47"/>
      <c r="B190" s="48"/>
      <c r="C190" s="48"/>
      <c r="E190" s="173"/>
      <c r="F190" s="41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T190" s="53"/>
    </row>
    <row r="191" spans="1:20" s="50" customFormat="1" ht="13.5" hidden="1" thickBot="1">
      <c r="A191" s="60" t="s">
        <v>75</v>
      </c>
      <c r="B191" s="68">
        <f>B184</f>
        <v>0</v>
      </c>
      <c r="C191" s="68">
        <f>C184</f>
        <v>0</v>
      </c>
      <c r="D191" s="69">
        <f t="shared" ref="D191:Q191" si="63">SUM(D184:D186,D188:D189)</f>
        <v>0</v>
      </c>
      <c r="E191" s="204"/>
      <c r="F191" s="414">
        <f t="shared" si="63"/>
        <v>0</v>
      </c>
      <c r="G191" s="70">
        <f t="shared" si="63"/>
        <v>0</v>
      </c>
      <c r="H191" s="70">
        <f t="shared" si="63"/>
        <v>0</v>
      </c>
      <c r="I191" s="70">
        <f t="shared" si="63"/>
        <v>0</v>
      </c>
      <c r="J191" s="70">
        <f t="shared" si="63"/>
        <v>0</v>
      </c>
      <c r="K191" s="70">
        <f t="shared" si="63"/>
        <v>0</v>
      </c>
      <c r="L191" s="70">
        <f t="shared" si="63"/>
        <v>0</v>
      </c>
      <c r="M191" s="70">
        <f t="shared" si="63"/>
        <v>0</v>
      </c>
      <c r="N191" s="70">
        <f t="shared" si="63"/>
        <v>0</v>
      </c>
      <c r="O191" s="70">
        <f t="shared" si="63"/>
        <v>0</v>
      </c>
      <c r="P191" s="70">
        <f t="shared" si="63"/>
        <v>0</v>
      </c>
      <c r="Q191" s="70">
        <f t="shared" si="63"/>
        <v>0</v>
      </c>
      <c r="T191" s="59"/>
    </row>
    <row r="192" spans="1:20" hidden="1">
      <c r="A192" s="75" t="s">
        <v>355</v>
      </c>
      <c r="B192" s="48"/>
      <c r="C192" s="48"/>
      <c r="E192" s="173"/>
      <c r="F192" s="428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T192" s="53"/>
    </row>
    <row r="193" spans="1:20" hidden="1">
      <c r="A193" s="76" t="s">
        <v>30</v>
      </c>
      <c r="B193" s="48"/>
      <c r="C193" s="48"/>
      <c r="E193" s="173"/>
      <c r="F193" s="429" t="e">
        <f>(F191+ROUND(J191/B191,0))-F192</f>
        <v>#DIV/0!</v>
      </c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T193" s="53"/>
    </row>
    <row r="194" spans="1:20">
      <c r="A194" s="54" t="s">
        <v>44</v>
      </c>
      <c r="B194" s="50"/>
      <c r="C194" s="50"/>
      <c r="D194" s="52"/>
      <c r="E194" s="211"/>
      <c r="F194" s="273"/>
      <c r="G194" s="6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T194" s="53"/>
    </row>
    <row r="195" spans="1:20">
      <c r="A195" s="50"/>
      <c r="E195" s="65">
        <v>112476700</v>
      </c>
      <c r="F195" s="41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T195" s="53"/>
    </row>
    <row r="196" spans="1:20">
      <c r="A196" s="49" t="s">
        <v>15</v>
      </c>
      <c r="B196" s="48">
        <v>0.4874</v>
      </c>
      <c r="C196" s="48">
        <v>0</v>
      </c>
      <c r="D196" s="433">
        <v>22748</v>
      </c>
      <c r="E196" s="173">
        <f>G196/B196*100</f>
        <v>17981233.073450964</v>
      </c>
      <c r="F196" s="335">
        <v>3199549745</v>
      </c>
      <c r="G196" s="331">
        <v>87640.53</v>
      </c>
      <c r="H196" s="53">
        <v>15572880.390000001</v>
      </c>
      <c r="I196" s="53">
        <v>0</v>
      </c>
      <c r="J196" s="53">
        <v>65961.62</v>
      </c>
      <c r="K196" s="53">
        <v>282.95</v>
      </c>
      <c r="L196" s="53">
        <f>G196+H196+I196-J196+K196</f>
        <v>15594842.25</v>
      </c>
      <c r="M196" s="53">
        <v>2223772.9700000002</v>
      </c>
      <c r="N196" s="53">
        <f>L196-M196</f>
        <v>13371069.279999999</v>
      </c>
      <c r="O196" s="53">
        <v>0</v>
      </c>
      <c r="P196" s="53">
        <v>0</v>
      </c>
      <c r="Q196" s="53">
        <f>N196-O196-P196</f>
        <v>13371069.279999999</v>
      </c>
      <c r="T196" s="53"/>
    </row>
    <row r="197" spans="1:20">
      <c r="A197" s="47" t="s">
        <v>16</v>
      </c>
      <c r="B197" s="48">
        <f>B$196</f>
        <v>0.4874</v>
      </c>
      <c r="C197" s="48">
        <f>C$196</f>
        <v>0</v>
      </c>
      <c r="E197" s="173"/>
      <c r="F197" s="416">
        <f>IF(E195&gt;E196,E195-E196,0)</f>
        <v>94495466.926549032</v>
      </c>
      <c r="G197" s="53">
        <f>F197*(B197-C197)/100</f>
        <v>460570.90580000001</v>
      </c>
      <c r="H197" s="53"/>
      <c r="I197" s="53"/>
      <c r="J197" s="53"/>
      <c r="K197" s="53"/>
      <c r="L197" s="53">
        <f>G197+H197+I197-J197+K197</f>
        <v>460570.90580000001</v>
      </c>
      <c r="M197" s="53"/>
      <c r="N197" s="53">
        <f>L197-M197</f>
        <v>460570.90580000001</v>
      </c>
      <c r="O197" s="53"/>
      <c r="P197" s="53"/>
      <c r="Q197" s="53">
        <f>N197-O197-P197</f>
        <v>460570.90580000001</v>
      </c>
      <c r="T197" s="53"/>
    </row>
    <row r="198" spans="1:20">
      <c r="A198" s="47" t="s">
        <v>17</v>
      </c>
      <c r="B198" s="48">
        <f t="shared" ref="B198:C201" si="64">B$196</f>
        <v>0.4874</v>
      </c>
      <c r="C198" s="48">
        <f t="shared" si="64"/>
        <v>0</v>
      </c>
      <c r="E198" s="173"/>
      <c r="F198" s="417">
        <v>75130199</v>
      </c>
      <c r="G198" s="53"/>
      <c r="H198" s="53">
        <f>F198*(B198-C198)/100</f>
        <v>366184.58992599999</v>
      </c>
      <c r="I198" s="53">
        <f>F198*C198/100</f>
        <v>0</v>
      </c>
      <c r="J198" s="53">
        <v>0</v>
      </c>
      <c r="K198" s="53">
        <v>0</v>
      </c>
      <c r="L198" s="53">
        <f>G198+H198+I198-J198+K198</f>
        <v>366184.58992599999</v>
      </c>
      <c r="M198" s="53">
        <v>0</v>
      </c>
      <c r="N198" s="53">
        <f>L198-M198</f>
        <v>366184.58992599999</v>
      </c>
      <c r="O198" s="53">
        <v>0</v>
      </c>
      <c r="P198" s="53">
        <v>0</v>
      </c>
      <c r="Q198" s="53">
        <f>N198-O198-P198</f>
        <v>366184.58992599999</v>
      </c>
      <c r="T198" s="53"/>
    </row>
    <row r="199" spans="1:20">
      <c r="A199" s="47" t="s">
        <v>18</v>
      </c>
      <c r="B199" s="48"/>
      <c r="C199" s="48"/>
      <c r="E199" s="173"/>
      <c r="F199" s="41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T199" s="53"/>
    </row>
    <row r="200" spans="1:20">
      <c r="A200" s="67" t="s">
        <v>19</v>
      </c>
      <c r="B200" s="48">
        <f t="shared" si="64"/>
        <v>0.4874</v>
      </c>
      <c r="C200" s="48">
        <f t="shared" si="64"/>
        <v>0</v>
      </c>
      <c r="E200" s="173"/>
      <c r="F200" s="413">
        <v>52844801.969999999</v>
      </c>
      <c r="G200" s="53">
        <v>8310.18</v>
      </c>
      <c r="H200" s="53">
        <v>249297.33</v>
      </c>
      <c r="I200" s="53">
        <v>0</v>
      </c>
      <c r="J200" s="53">
        <v>8609.3799999999992</v>
      </c>
      <c r="K200" s="53">
        <v>0</v>
      </c>
      <c r="L200" s="53">
        <f>G200+H200+I200-J200+K200</f>
        <v>248998.12999999998</v>
      </c>
      <c r="M200" s="53">
        <v>66905.66</v>
      </c>
      <c r="N200" s="53">
        <f>L200-M200</f>
        <v>182092.46999999997</v>
      </c>
      <c r="O200" s="53">
        <v>0</v>
      </c>
      <c r="P200" s="53">
        <v>0</v>
      </c>
      <c r="Q200" s="53">
        <f>N200-O200-P200</f>
        <v>182092.46999999997</v>
      </c>
      <c r="T200" s="53"/>
    </row>
    <row r="201" spans="1:20">
      <c r="A201" s="67" t="s">
        <v>20</v>
      </c>
      <c r="B201" s="48">
        <f t="shared" si="64"/>
        <v>0.4874</v>
      </c>
      <c r="C201" s="48">
        <f t="shared" si="64"/>
        <v>0</v>
      </c>
      <c r="E201" s="173"/>
      <c r="F201" s="413">
        <v>10195767.85</v>
      </c>
      <c r="G201" s="53">
        <v>49694.15</v>
      </c>
      <c r="H201" s="53"/>
      <c r="I201" s="53">
        <v>0</v>
      </c>
      <c r="J201" s="53">
        <v>0</v>
      </c>
      <c r="K201" s="53">
        <v>0</v>
      </c>
      <c r="L201" s="53">
        <f>G201+H201+I201-J201+K201</f>
        <v>49694.15</v>
      </c>
      <c r="M201" s="53">
        <v>0</v>
      </c>
      <c r="N201" s="53">
        <f>L201-M201</f>
        <v>49694.15</v>
      </c>
      <c r="O201" s="53">
        <v>0</v>
      </c>
      <c r="P201" s="53">
        <v>0</v>
      </c>
      <c r="Q201" s="53">
        <f>N201-O201-P201</f>
        <v>49694.15</v>
      </c>
      <c r="S201" s="53">
        <f>Q200+Q201</f>
        <v>231786.61999999997</v>
      </c>
      <c r="T201" s="53"/>
    </row>
    <row r="202" spans="1:20">
      <c r="A202" s="47"/>
      <c r="B202" s="48"/>
      <c r="C202" s="48"/>
      <c r="E202" s="173"/>
      <c r="F202" s="41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T202" s="53"/>
    </row>
    <row r="203" spans="1:20" s="50" customFormat="1" ht="13.5" thickBot="1">
      <c r="A203" s="160" t="str">
        <f>"TOTAL "&amp; A194</f>
        <v>TOTAL EAST FORK FIRE PROTECTION DISTRICT</v>
      </c>
      <c r="B203" s="68">
        <f>B196</f>
        <v>0.4874</v>
      </c>
      <c r="C203" s="68">
        <f>C196</f>
        <v>0</v>
      </c>
      <c r="D203" s="69">
        <f t="shared" ref="D203:Q203" si="65">SUM(D196:D198,D200:D201)</f>
        <v>22748</v>
      </c>
      <c r="E203" s="204"/>
      <c r="F203" s="414">
        <f t="shared" si="65"/>
        <v>3432215980.7465487</v>
      </c>
      <c r="G203" s="70">
        <f t="shared" si="65"/>
        <v>606215.76580000005</v>
      </c>
      <c r="H203" s="70">
        <f t="shared" si="65"/>
        <v>16188362.309926001</v>
      </c>
      <c r="I203" s="70">
        <f t="shared" si="65"/>
        <v>0</v>
      </c>
      <c r="J203" s="70">
        <f t="shared" si="65"/>
        <v>74571</v>
      </c>
      <c r="K203" s="70">
        <f t="shared" si="65"/>
        <v>282.95</v>
      </c>
      <c r="L203" s="70">
        <f t="shared" si="65"/>
        <v>16720290.025726002</v>
      </c>
      <c r="M203" s="70">
        <f t="shared" si="65"/>
        <v>2290678.6300000004</v>
      </c>
      <c r="N203" s="70">
        <f t="shared" si="65"/>
        <v>14429611.395726001</v>
      </c>
      <c r="O203" s="70">
        <f t="shared" si="65"/>
        <v>0</v>
      </c>
      <c r="P203" s="70">
        <f t="shared" si="65"/>
        <v>0</v>
      </c>
      <c r="Q203" s="70">
        <f t="shared" si="65"/>
        <v>14429611.395726001</v>
      </c>
      <c r="T203" s="59"/>
    </row>
    <row r="204" spans="1:20">
      <c r="A204" s="150" t="s">
        <v>355</v>
      </c>
      <c r="B204" s="48"/>
      <c r="C204" s="48"/>
      <c r="E204" s="173"/>
      <c r="F204" s="428">
        <v>3430458130</v>
      </c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T204" s="53"/>
    </row>
    <row r="205" spans="1:20">
      <c r="A205" s="151" t="s">
        <v>30</v>
      </c>
      <c r="B205" s="48"/>
      <c r="C205" s="48"/>
      <c r="E205" s="173"/>
      <c r="F205" s="429">
        <f>F203-F204</f>
        <v>1757850.7465486526</v>
      </c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T205" s="53"/>
    </row>
    <row r="206" spans="1:20" hidden="1">
      <c r="A206" s="54" t="s">
        <v>45</v>
      </c>
      <c r="F206" s="413"/>
      <c r="G206" s="6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T206" s="53"/>
    </row>
    <row r="207" spans="1:20" hidden="1">
      <c r="F207" s="41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T207" s="53"/>
    </row>
    <row r="208" spans="1:20" hidden="1">
      <c r="A208" s="49" t="s">
        <v>15</v>
      </c>
      <c r="B208" s="48"/>
      <c r="C208" s="48"/>
      <c r="E208" s="173" t="e">
        <f>G208/B208*100</f>
        <v>#DIV/0!</v>
      </c>
      <c r="F208" s="412"/>
      <c r="G208" s="53"/>
      <c r="H208" s="53"/>
      <c r="I208" s="53"/>
      <c r="J208" s="53"/>
      <c r="K208" s="53"/>
      <c r="L208" s="53">
        <f>G208+H208+I208-J208+K208</f>
        <v>0</v>
      </c>
      <c r="M208" s="53"/>
      <c r="N208" s="53">
        <f>L208-M208</f>
        <v>0</v>
      </c>
      <c r="O208" s="53"/>
      <c r="P208" s="53"/>
      <c r="Q208" s="53">
        <f>N208-O208-P208</f>
        <v>0</v>
      </c>
      <c r="T208" s="53"/>
    </row>
    <row r="209" spans="1:20" hidden="1">
      <c r="A209" s="47" t="s">
        <v>16</v>
      </c>
      <c r="B209" s="48">
        <f>B$208</f>
        <v>0</v>
      </c>
      <c r="C209" s="48">
        <f>C$208</f>
        <v>0</v>
      </c>
      <c r="E209" s="173"/>
      <c r="F209" s="416"/>
      <c r="G209" s="53">
        <f>F209*(B209-C209)/100</f>
        <v>0</v>
      </c>
      <c r="H209" s="53"/>
      <c r="I209" s="53">
        <f>F209*C209/100</f>
        <v>0</v>
      </c>
      <c r="J209" s="53"/>
      <c r="K209" s="53"/>
      <c r="L209" s="53">
        <f>G209+H209+I209-J209+K209</f>
        <v>0</v>
      </c>
      <c r="M209" s="53"/>
      <c r="N209" s="53">
        <f>L209-M209</f>
        <v>0</v>
      </c>
      <c r="O209" s="53"/>
      <c r="P209" s="53"/>
      <c r="Q209" s="53">
        <f>N209-O209-P209</f>
        <v>0</v>
      </c>
      <c r="T209" s="53"/>
    </row>
    <row r="210" spans="1:20" hidden="1">
      <c r="A210" s="47" t="s">
        <v>17</v>
      </c>
      <c r="B210" s="48">
        <f t="shared" ref="B210:C213" si="66">B$208</f>
        <v>0</v>
      </c>
      <c r="C210" s="48">
        <f t="shared" si="66"/>
        <v>0</v>
      </c>
      <c r="E210" s="173"/>
      <c r="F210" s="417"/>
      <c r="G210" s="53"/>
      <c r="H210" s="53">
        <f>F210*(B210-C210)/100</f>
        <v>0</v>
      </c>
      <c r="I210" s="53">
        <f>F210*C210/100</f>
        <v>0</v>
      </c>
      <c r="J210" s="53"/>
      <c r="K210" s="53"/>
      <c r="L210" s="53">
        <f>G210+H210+I210-J210+K210</f>
        <v>0</v>
      </c>
      <c r="M210" s="53"/>
      <c r="N210" s="53">
        <f>L210-M210</f>
        <v>0</v>
      </c>
      <c r="O210" s="53"/>
      <c r="P210" s="53"/>
      <c r="Q210" s="53">
        <f>N210-O210-P210</f>
        <v>0</v>
      </c>
      <c r="T210" s="53"/>
    </row>
    <row r="211" spans="1:20" hidden="1">
      <c r="A211" s="47" t="s">
        <v>18</v>
      </c>
      <c r="B211" s="48"/>
      <c r="C211" s="48"/>
      <c r="E211" s="173"/>
      <c r="F211" s="41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T211" s="53"/>
    </row>
    <row r="212" spans="1:20" hidden="1">
      <c r="A212" s="67" t="s">
        <v>19</v>
      </c>
      <c r="B212" s="48">
        <f t="shared" si="66"/>
        <v>0</v>
      </c>
      <c r="C212" s="48">
        <f t="shared" si="66"/>
        <v>0</v>
      </c>
      <c r="E212" s="173"/>
      <c r="F212" s="413"/>
      <c r="G212" s="53"/>
      <c r="H212" s="53"/>
      <c r="I212" s="53"/>
      <c r="J212" s="53"/>
      <c r="K212" s="53"/>
      <c r="L212" s="53">
        <f>G212+H212+I212-J212+K212</f>
        <v>0</v>
      </c>
      <c r="M212" s="53"/>
      <c r="N212" s="53">
        <f>L212-M212</f>
        <v>0</v>
      </c>
      <c r="O212" s="53"/>
      <c r="P212" s="53"/>
      <c r="Q212" s="53">
        <f>N212-O212-P212</f>
        <v>0</v>
      </c>
      <c r="T212" s="53"/>
    </row>
    <row r="213" spans="1:20" hidden="1">
      <c r="A213" s="67" t="s">
        <v>20</v>
      </c>
      <c r="B213" s="48">
        <f t="shared" si="66"/>
        <v>0</v>
      </c>
      <c r="C213" s="48">
        <f t="shared" si="66"/>
        <v>0</v>
      </c>
      <c r="E213" s="173"/>
      <c r="F213" s="413"/>
      <c r="G213" s="53"/>
      <c r="H213" s="53"/>
      <c r="I213" s="53"/>
      <c r="J213" s="53"/>
      <c r="K213" s="53"/>
      <c r="L213" s="53">
        <f>G213+H213+I213-J213+K213</f>
        <v>0</v>
      </c>
      <c r="M213" s="53"/>
      <c r="N213" s="53">
        <f>L213-M213</f>
        <v>0</v>
      </c>
      <c r="O213" s="53"/>
      <c r="P213" s="53"/>
      <c r="Q213" s="53">
        <f>N213-O213-P213</f>
        <v>0</v>
      </c>
      <c r="S213" s="53">
        <f>Q212+Q213</f>
        <v>0</v>
      </c>
      <c r="T213" s="53"/>
    </row>
    <row r="214" spans="1:20" hidden="1">
      <c r="A214" s="47"/>
      <c r="B214" s="48"/>
      <c r="C214" s="48"/>
      <c r="E214" s="173"/>
      <c r="F214" s="41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T214" s="53"/>
    </row>
    <row r="215" spans="1:20" s="50" customFormat="1" ht="13.5" hidden="1" thickBot="1">
      <c r="A215" s="160" t="str">
        <f>"TOTAL "&amp; A206</f>
        <v>TOTAL EAST FORK PARAMEDIC DISTRICT</v>
      </c>
      <c r="B215" s="68">
        <f>B208</f>
        <v>0</v>
      </c>
      <c r="C215" s="68">
        <f>C208</f>
        <v>0</v>
      </c>
      <c r="D215" s="69">
        <f t="shared" ref="D215:Q215" si="67">SUM(D208:D210,D212:D213)</f>
        <v>0</v>
      </c>
      <c r="E215" s="204"/>
      <c r="F215" s="414">
        <f t="shared" si="67"/>
        <v>0</v>
      </c>
      <c r="G215" s="70">
        <f t="shared" si="67"/>
        <v>0</v>
      </c>
      <c r="H215" s="70">
        <f t="shared" si="67"/>
        <v>0</v>
      </c>
      <c r="I215" s="70">
        <f t="shared" si="67"/>
        <v>0</v>
      </c>
      <c r="J215" s="70">
        <f t="shared" si="67"/>
        <v>0</v>
      </c>
      <c r="K215" s="70">
        <f t="shared" si="67"/>
        <v>0</v>
      </c>
      <c r="L215" s="70">
        <f t="shared" si="67"/>
        <v>0</v>
      </c>
      <c r="M215" s="70">
        <f t="shared" si="67"/>
        <v>0</v>
      </c>
      <c r="N215" s="70">
        <f t="shared" si="67"/>
        <v>0</v>
      </c>
      <c r="O215" s="70">
        <f t="shared" si="67"/>
        <v>0</v>
      </c>
      <c r="P215" s="70">
        <f t="shared" si="67"/>
        <v>0</v>
      </c>
      <c r="Q215" s="70">
        <f t="shared" si="67"/>
        <v>0</v>
      </c>
      <c r="T215" s="59"/>
    </row>
    <row r="216" spans="1:20" hidden="1">
      <c r="A216" s="75" t="s">
        <v>355</v>
      </c>
      <c r="B216" s="48"/>
      <c r="C216" s="48"/>
      <c r="E216" s="173"/>
      <c r="F216" s="428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T216" s="53"/>
    </row>
    <row r="217" spans="1:20" hidden="1">
      <c r="A217" s="76" t="s">
        <v>30</v>
      </c>
      <c r="B217" s="48"/>
      <c r="C217" s="48"/>
      <c r="E217" s="173"/>
      <c r="F217" s="429">
        <f>F215-F216</f>
        <v>0</v>
      </c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T217" s="53"/>
    </row>
    <row r="218" spans="1:20">
      <c r="A218" s="54" t="s">
        <v>46</v>
      </c>
      <c r="B218" s="50"/>
      <c r="C218" s="50"/>
      <c r="D218" s="52"/>
      <c r="E218" s="211"/>
      <c r="F218" s="273"/>
      <c r="G218" s="6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T218" s="53"/>
    </row>
    <row r="219" spans="1:20">
      <c r="E219" s="65">
        <v>112229219</v>
      </c>
      <c r="F219" s="41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T219" s="53"/>
    </row>
    <row r="220" spans="1:20">
      <c r="A220" s="49" t="s">
        <v>15</v>
      </c>
      <c r="B220" s="48">
        <v>0.13</v>
      </c>
      <c r="C220" s="48">
        <v>0</v>
      </c>
      <c r="D220" s="43">
        <v>22734</v>
      </c>
      <c r="E220" s="173">
        <f>G220/B220*100</f>
        <v>17981623.07692308</v>
      </c>
      <c r="F220" s="412">
        <v>3199073745</v>
      </c>
      <c r="G220" s="53">
        <v>23376.11</v>
      </c>
      <c r="H220" s="53">
        <v>4152999.11</v>
      </c>
      <c r="I220" s="53">
        <v>0</v>
      </c>
      <c r="J220" s="53">
        <v>17606.45</v>
      </c>
      <c r="K220" s="53">
        <v>75.400000000000006</v>
      </c>
      <c r="L220" s="53">
        <f>G220+H220+I220-J220+K220</f>
        <v>4158844.1699999995</v>
      </c>
      <c r="M220" s="53">
        <v>608893.36</v>
      </c>
      <c r="N220" s="53">
        <f>L220-M220</f>
        <v>3549950.8099999996</v>
      </c>
      <c r="O220" s="53">
        <v>0</v>
      </c>
      <c r="P220" s="53">
        <v>0</v>
      </c>
      <c r="Q220" s="53">
        <f>N220-O220-P220</f>
        <v>3549950.8099999996</v>
      </c>
      <c r="T220" s="53"/>
    </row>
    <row r="221" spans="1:20">
      <c r="A221" s="47" t="s">
        <v>16</v>
      </c>
      <c r="B221" s="48">
        <f>B$220</f>
        <v>0.13</v>
      </c>
      <c r="C221" s="48">
        <f>C$220</f>
        <v>0</v>
      </c>
      <c r="E221" s="173"/>
      <c r="F221" s="416">
        <f>IF(E219&gt;E220,E219-E220,0)</f>
        <v>94247595.923076928</v>
      </c>
      <c r="G221" s="53">
        <f>F221*(B221-C221)/100</f>
        <v>122521.8747</v>
      </c>
      <c r="H221" s="53"/>
      <c r="I221" s="53">
        <f>F221*C221/100</f>
        <v>0</v>
      </c>
      <c r="J221" s="53"/>
      <c r="K221" s="53"/>
      <c r="L221" s="53">
        <f>G221+H221+I221-J221+K221</f>
        <v>122521.8747</v>
      </c>
      <c r="M221" s="53"/>
      <c r="N221" s="53">
        <f>L221-M221</f>
        <v>122521.8747</v>
      </c>
      <c r="O221" s="53"/>
      <c r="P221" s="53"/>
      <c r="Q221" s="53">
        <f>N221-O221-P221</f>
        <v>122521.8747</v>
      </c>
      <c r="T221" s="53"/>
    </row>
    <row r="222" spans="1:20">
      <c r="A222" s="47" t="s">
        <v>17</v>
      </c>
      <c r="B222" s="48">
        <f t="shared" ref="B222:C225" si="68">B$220</f>
        <v>0.13</v>
      </c>
      <c r="C222" s="48">
        <f t="shared" si="68"/>
        <v>0</v>
      </c>
      <c r="E222" s="173"/>
      <c r="F222" s="417">
        <v>71187894</v>
      </c>
      <c r="G222" s="53"/>
      <c r="H222" s="53">
        <f>F222*(B222-C222)/100</f>
        <v>92544.262200000012</v>
      </c>
      <c r="I222" s="53">
        <f>F222*C222/100</f>
        <v>0</v>
      </c>
      <c r="J222" s="53">
        <v>0</v>
      </c>
      <c r="K222" s="53">
        <v>0</v>
      </c>
      <c r="L222" s="53">
        <f>G222+H222+I222-J222+K222</f>
        <v>92544.262200000012</v>
      </c>
      <c r="M222" s="53">
        <v>0</v>
      </c>
      <c r="N222" s="53">
        <f>L222-M222</f>
        <v>92544.262200000012</v>
      </c>
      <c r="O222" s="53">
        <v>0</v>
      </c>
      <c r="P222" s="53">
        <v>0</v>
      </c>
      <c r="Q222" s="53">
        <f>N222-O222-P222</f>
        <v>92544.262200000012</v>
      </c>
      <c r="T222" s="53"/>
    </row>
    <row r="223" spans="1:20">
      <c r="A223" s="47" t="s">
        <v>18</v>
      </c>
      <c r="B223" s="48"/>
      <c r="C223" s="48"/>
      <c r="E223" s="173"/>
      <c r="F223" s="41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T223" s="53"/>
    </row>
    <row r="224" spans="1:20">
      <c r="A224" s="67" t="s">
        <v>19</v>
      </c>
      <c r="B224" s="48">
        <f t="shared" si="68"/>
        <v>0.13</v>
      </c>
      <c r="C224" s="48">
        <f t="shared" si="68"/>
        <v>0</v>
      </c>
      <c r="E224" s="173"/>
      <c r="F224" s="413">
        <v>52169951.090000004</v>
      </c>
      <c r="G224" s="53">
        <v>2184.5500000000002</v>
      </c>
      <c r="H224" s="53">
        <v>65639.3</v>
      </c>
      <c r="I224" s="53">
        <v>0</v>
      </c>
      <c r="J224" s="53">
        <v>2260.87</v>
      </c>
      <c r="K224" s="53">
        <v>0</v>
      </c>
      <c r="L224" s="53">
        <f>G224+H224+I224-J224+K224</f>
        <v>65562.98000000001</v>
      </c>
      <c r="M224" s="53">
        <v>4132.7</v>
      </c>
      <c r="N224" s="53">
        <f>L224-M224</f>
        <v>61430.280000000013</v>
      </c>
      <c r="O224" s="53">
        <v>0</v>
      </c>
      <c r="P224" s="53">
        <v>0</v>
      </c>
      <c r="Q224" s="53">
        <f>N224-O224-P224</f>
        <v>61430.280000000013</v>
      </c>
      <c r="T224" s="53"/>
    </row>
    <row r="225" spans="1:20">
      <c r="A225" s="67" t="s">
        <v>20</v>
      </c>
      <c r="B225" s="48">
        <f t="shared" si="68"/>
        <v>0.13</v>
      </c>
      <c r="C225" s="48">
        <f t="shared" si="68"/>
        <v>0</v>
      </c>
      <c r="E225" s="173"/>
      <c r="F225" s="413">
        <v>10035995.09</v>
      </c>
      <c r="G225" s="53">
        <v>13046.79</v>
      </c>
      <c r="H225" s="53">
        <v>0</v>
      </c>
      <c r="I225" s="53">
        <v>0</v>
      </c>
      <c r="J225" s="53">
        <v>0</v>
      </c>
      <c r="K225" s="53">
        <v>0</v>
      </c>
      <c r="L225" s="53">
        <f>G225+H225+I225-J225+K225</f>
        <v>13046.79</v>
      </c>
      <c r="M225" s="53">
        <v>0</v>
      </c>
      <c r="N225" s="53">
        <f>L225-M225</f>
        <v>13046.79</v>
      </c>
      <c r="O225" s="53">
        <v>0</v>
      </c>
      <c r="P225" s="53">
        <v>0</v>
      </c>
      <c r="Q225" s="53">
        <f>N225-O225-P225</f>
        <v>13046.79</v>
      </c>
      <c r="S225" s="53">
        <f>Q224+Q225</f>
        <v>74477.070000000007</v>
      </c>
      <c r="T225" s="53"/>
    </row>
    <row r="226" spans="1:20">
      <c r="A226" s="47"/>
      <c r="B226" s="48"/>
      <c r="C226" s="48"/>
      <c r="E226" s="173"/>
      <c r="F226" s="41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T226" s="53"/>
    </row>
    <row r="227" spans="1:20" s="50" customFormat="1" ht="13.5" thickBot="1">
      <c r="A227" s="160" t="str">
        <f>"TOTAL "&amp; A218</f>
        <v>TOTAL EAST FORK SWIMMING POOL DISTRICT</v>
      </c>
      <c r="B227" s="68">
        <f>B220</f>
        <v>0.13</v>
      </c>
      <c r="C227" s="68">
        <f>C220</f>
        <v>0</v>
      </c>
      <c r="D227" s="69">
        <f t="shared" ref="D227:Q227" si="69">SUM(D220:D222,D224:D225)</f>
        <v>22734</v>
      </c>
      <c r="E227" s="204"/>
      <c r="F227" s="414">
        <f t="shared" si="69"/>
        <v>3426715181.1030774</v>
      </c>
      <c r="G227" s="70">
        <f t="shared" si="69"/>
        <v>161129.3247</v>
      </c>
      <c r="H227" s="70">
        <f t="shared" si="69"/>
        <v>4311182.6721999999</v>
      </c>
      <c r="I227" s="70">
        <f t="shared" si="69"/>
        <v>0</v>
      </c>
      <c r="J227" s="70">
        <f t="shared" si="69"/>
        <v>19867.32</v>
      </c>
      <c r="K227" s="70">
        <f t="shared" si="69"/>
        <v>75.400000000000006</v>
      </c>
      <c r="L227" s="70">
        <f t="shared" si="69"/>
        <v>4452520.0768999998</v>
      </c>
      <c r="M227" s="70">
        <f t="shared" si="69"/>
        <v>613026.05999999994</v>
      </c>
      <c r="N227" s="70">
        <f t="shared" si="69"/>
        <v>3839494.0168999997</v>
      </c>
      <c r="O227" s="70">
        <f t="shared" si="69"/>
        <v>0</v>
      </c>
      <c r="P227" s="70">
        <f t="shared" si="69"/>
        <v>0</v>
      </c>
      <c r="Q227" s="70">
        <f t="shared" si="69"/>
        <v>3839494.0168999997</v>
      </c>
      <c r="T227" s="59"/>
    </row>
    <row r="228" spans="1:20">
      <c r="A228" s="150" t="s">
        <v>355</v>
      </c>
      <c r="B228" s="48"/>
      <c r="C228" s="48"/>
      <c r="E228" s="173"/>
      <c r="F228" s="428">
        <v>3424978659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T228" s="53"/>
    </row>
    <row r="229" spans="1:20">
      <c r="A229" s="151" t="s">
        <v>30</v>
      </c>
      <c r="B229" s="48"/>
      <c r="C229" s="48"/>
      <c r="E229" s="173"/>
      <c r="F229" s="429">
        <f>F227-F228</f>
        <v>1736522.1030774117</v>
      </c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T229" s="53"/>
    </row>
    <row r="230" spans="1:20">
      <c r="A230" s="54" t="s">
        <v>47</v>
      </c>
      <c r="F230" s="413"/>
      <c r="G230" s="6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T230" s="53"/>
    </row>
    <row r="231" spans="1:20">
      <c r="E231" s="65">
        <v>395359</v>
      </c>
      <c r="F231" s="41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T231" s="53"/>
    </row>
    <row r="232" spans="1:20">
      <c r="A232" s="49" t="s">
        <v>15</v>
      </c>
      <c r="B232" s="48">
        <v>9.4999999999999998E-3</v>
      </c>
      <c r="C232" s="48">
        <v>0</v>
      </c>
      <c r="D232" s="129">
        <v>94</v>
      </c>
      <c r="E232" s="173">
        <f>G232/B232*100</f>
        <v>0</v>
      </c>
      <c r="F232" s="408">
        <v>58537507</v>
      </c>
      <c r="G232" s="53">
        <v>0</v>
      </c>
      <c r="H232" s="385">
        <v>5561.05</v>
      </c>
      <c r="I232" s="53">
        <v>0</v>
      </c>
      <c r="J232" s="53">
        <v>0</v>
      </c>
      <c r="K232" s="53">
        <v>0</v>
      </c>
      <c r="L232" s="53">
        <f>G232+H232+I232-J232+K232</f>
        <v>5561.05</v>
      </c>
      <c r="M232" s="385">
        <v>1013.66</v>
      </c>
      <c r="N232" s="53">
        <f>L232-M232</f>
        <v>4547.3900000000003</v>
      </c>
      <c r="O232" s="53">
        <v>0</v>
      </c>
      <c r="P232" s="53">
        <v>0</v>
      </c>
      <c r="Q232" s="53">
        <f>N232-O232-P232</f>
        <v>4547.3900000000003</v>
      </c>
      <c r="T232" s="53"/>
    </row>
    <row r="233" spans="1:20">
      <c r="A233" s="47" t="s">
        <v>16</v>
      </c>
      <c r="B233" s="48">
        <f>B$232</f>
        <v>9.4999999999999998E-3</v>
      </c>
      <c r="C233" s="48">
        <f>C$232</f>
        <v>0</v>
      </c>
      <c r="E233" s="173"/>
      <c r="F233" s="416">
        <f>IF(E231&gt;E232,E231-E232,0)</f>
        <v>395359</v>
      </c>
      <c r="G233" s="53"/>
      <c r="H233" s="53"/>
      <c r="I233" s="53">
        <f>F233*C233/100</f>
        <v>0</v>
      </c>
      <c r="J233" s="53"/>
      <c r="K233" s="53"/>
      <c r="L233" s="53">
        <f>G233+H233+I233-J233+K233</f>
        <v>0</v>
      </c>
      <c r="M233" s="53"/>
      <c r="N233" s="53">
        <f>L233-M233</f>
        <v>0</v>
      </c>
      <c r="O233" s="53"/>
      <c r="P233" s="53"/>
      <c r="Q233" s="53">
        <f>N233-O233-P233</f>
        <v>0</v>
      </c>
      <c r="T233" s="53"/>
    </row>
    <row r="234" spans="1:20">
      <c r="A234" s="47" t="s">
        <v>17</v>
      </c>
      <c r="B234" s="48">
        <f t="shared" ref="B234:C237" si="70">B$232</f>
        <v>9.4999999999999998E-3</v>
      </c>
      <c r="C234" s="48">
        <f t="shared" si="70"/>
        <v>0</v>
      </c>
      <c r="E234" s="173"/>
      <c r="F234" s="417">
        <v>86759</v>
      </c>
      <c r="G234" s="53"/>
      <c r="H234" s="53">
        <f>F234*(B234-C234)/100</f>
        <v>8.2421050000000005</v>
      </c>
      <c r="I234" s="53">
        <f>F234*C234/100</f>
        <v>0</v>
      </c>
      <c r="J234" s="53">
        <v>0</v>
      </c>
      <c r="K234" s="53">
        <v>0</v>
      </c>
      <c r="L234" s="53">
        <f>G234+H234+I234-J234+K234</f>
        <v>8.2421050000000005</v>
      </c>
      <c r="M234" s="53">
        <v>0</v>
      </c>
      <c r="N234" s="53">
        <f>L234-M234</f>
        <v>8.2421050000000005</v>
      </c>
      <c r="O234" s="53">
        <v>0</v>
      </c>
      <c r="P234" s="53">
        <v>0</v>
      </c>
      <c r="Q234" s="53">
        <f>N234-O234-P234</f>
        <v>8.2421050000000005</v>
      </c>
      <c r="T234" s="53"/>
    </row>
    <row r="235" spans="1:20">
      <c r="A235" s="47" t="s">
        <v>18</v>
      </c>
      <c r="B235" s="48"/>
      <c r="C235" s="48"/>
      <c r="E235" s="173"/>
      <c r="F235" s="41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T235" s="53"/>
    </row>
    <row r="236" spans="1:20">
      <c r="A236" s="67" t="s">
        <v>19</v>
      </c>
      <c r="B236" s="48">
        <f t="shared" si="70"/>
        <v>9.4999999999999998E-3</v>
      </c>
      <c r="C236" s="48">
        <f t="shared" si="70"/>
        <v>0</v>
      </c>
      <c r="E236" s="173"/>
      <c r="F236" s="413">
        <v>3921.11</v>
      </c>
      <c r="G236" s="53">
        <v>0.01</v>
      </c>
      <c r="H236" s="53">
        <v>0.37</v>
      </c>
      <c r="I236" s="53">
        <v>0</v>
      </c>
      <c r="J236" s="53">
        <v>0</v>
      </c>
      <c r="K236" s="53">
        <v>0</v>
      </c>
      <c r="L236" s="53">
        <f>G236+H236+I236-J236+K236</f>
        <v>0.38</v>
      </c>
      <c r="M236" s="53">
        <v>0.03</v>
      </c>
      <c r="N236" s="53">
        <f>L236-M236</f>
        <v>0.35</v>
      </c>
      <c r="O236" s="53">
        <v>0</v>
      </c>
      <c r="P236" s="53">
        <v>0</v>
      </c>
      <c r="Q236" s="53">
        <f>N236-O236-P236</f>
        <v>0.35</v>
      </c>
      <c r="T236" s="53"/>
    </row>
    <row r="237" spans="1:20">
      <c r="A237" s="67" t="s">
        <v>20</v>
      </c>
      <c r="B237" s="48">
        <f t="shared" si="70"/>
        <v>9.4999999999999998E-3</v>
      </c>
      <c r="C237" s="48">
        <f t="shared" si="70"/>
        <v>0</v>
      </c>
      <c r="E237" s="173"/>
      <c r="F237" s="339">
        <v>139.94</v>
      </c>
      <c r="G237" s="53">
        <v>0.01</v>
      </c>
      <c r="H237" s="53"/>
      <c r="I237" s="53">
        <v>0</v>
      </c>
      <c r="J237" s="53">
        <v>0</v>
      </c>
      <c r="K237" s="53">
        <v>0</v>
      </c>
      <c r="L237" s="53">
        <f>G237+H237+I237-J237+K237</f>
        <v>0.01</v>
      </c>
      <c r="M237" s="53">
        <v>0</v>
      </c>
      <c r="N237" s="53">
        <f>L237-M237</f>
        <v>0.01</v>
      </c>
      <c r="O237" s="53">
        <v>0</v>
      </c>
      <c r="P237" s="53">
        <v>0</v>
      </c>
      <c r="Q237" s="53">
        <f>N237-O237-P237</f>
        <v>0.01</v>
      </c>
      <c r="S237" s="53">
        <f>Q236+Q237</f>
        <v>0.36</v>
      </c>
      <c r="T237" s="53"/>
    </row>
    <row r="238" spans="1:20">
      <c r="A238" s="47"/>
      <c r="B238" s="48"/>
      <c r="C238" s="48"/>
      <c r="E238" s="173"/>
      <c r="F238" s="41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T238" s="53"/>
    </row>
    <row r="239" spans="1:20" s="50" customFormat="1" ht="13.5" thickBot="1">
      <c r="A239" s="160" t="str">
        <f>"TOTAL "&amp; A230</f>
        <v>TOTAL ELK POINT SANITATION DISTRICT</v>
      </c>
      <c r="B239" s="68">
        <f>B232</f>
        <v>9.4999999999999998E-3</v>
      </c>
      <c r="C239" s="68">
        <f>C232</f>
        <v>0</v>
      </c>
      <c r="D239" s="69">
        <f t="shared" ref="D239:Q239" si="71">SUM(D232:D234,D236:D237)</f>
        <v>94</v>
      </c>
      <c r="E239" s="204"/>
      <c r="F239" s="414">
        <f t="shared" si="71"/>
        <v>59023686.049999997</v>
      </c>
      <c r="G239" s="70">
        <f t="shared" si="71"/>
        <v>0.02</v>
      </c>
      <c r="H239" s="70">
        <f t="shared" si="71"/>
        <v>5569.6621050000003</v>
      </c>
      <c r="I239" s="70">
        <f t="shared" si="71"/>
        <v>0</v>
      </c>
      <c r="J239" s="70">
        <f t="shared" si="71"/>
        <v>0</v>
      </c>
      <c r="K239" s="70">
        <f t="shared" si="71"/>
        <v>0</v>
      </c>
      <c r="L239" s="70">
        <f t="shared" si="71"/>
        <v>5569.6821050000008</v>
      </c>
      <c r="M239" s="70">
        <f t="shared" si="71"/>
        <v>1013.6899999999999</v>
      </c>
      <c r="N239" s="70">
        <f t="shared" si="71"/>
        <v>4555.9921050000012</v>
      </c>
      <c r="O239" s="70">
        <f t="shared" si="71"/>
        <v>0</v>
      </c>
      <c r="P239" s="70">
        <f t="shared" si="71"/>
        <v>0</v>
      </c>
      <c r="Q239" s="70">
        <f t="shared" si="71"/>
        <v>4555.9921050000012</v>
      </c>
      <c r="T239" s="59"/>
    </row>
    <row r="240" spans="1:20">
      <c r="A240" s="150" t="s">
        <v>355</v>
      </c>
      <c r="B240" s="48"/>
      <c r="C240" s="48"/>
      <c r="E240" s="173"/>
      <c r="F240" s="428">
        <v>59023654</v>
      </c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T240" s="53"/>
    </row>
    <row r="241" spans="1:20">
      <c r="A241" s="151" t="s">
        <v>30</v>
      </c>
      <c r="B241" s="48"/>
      <c r="C241" s="48"/>
      <c r="E241" s="173"/>
      <c r="F241" s="429">
        <f>F239-F240</f>
        <v>32.049999997019768</v>
      </c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T241" s="53"/>
    </row>
    <row r="242" spans="1:20">
      <c r="A242" s="54" t="s">
        <v>48</v>
      </c>
      <c r="F242" s="413"/>
      <c r="G242" s="6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T242" s="53"/>
    </row>
    <row r="243" spans="1:20">
      <c r="A243" s="83"/>
      <c r="B243" s="85"/>
      <c r="C243" s="85"/>
      <c r="D243" s="177"/>
      <c r="E243" s="65">
        <v>3780877</v>
      </c>
      <c r="F243" s="384"/>
      <c r="G243" s="86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T243" s="53"/>
    </row>
    <row r="244" spans="1:20">
      <c r="A244" s="49" t="s">
        <v>15</v>
      </c>
      <c r="B244" s="48">
        <v>0.55000000000000004</v>
      </c>
      <c r="C244" s="48">
        <v>0</v>
      </c>
      <c r="D244" s="434">
        <v>4144</v>
      </c>
      <c r="E244" s="173">
        <f>G244/B244*100</f>
        <v>70069.090909090897</v>
      </c>
      <c r="F244" s="408">
        <v>401030521</v>
      </c>
      <c r="G244" s="385">
        <v>385.38</v>
      </c>
      <c r="H244" s="385">
        <v>2220306.5499999998</v>
      </c>
      <c r="I244" s="53">
        <v>0</v>
      </c>
      <c r="J244" s="385">
        <v>14609.53</v>
      </c>
      <c r="K244" s="53">
        <v>0</v>
      </c>
      <c r="L244" s="53">
        <f>G244+H244+I244-J244+K244</f>
        <v>2206082.4</v>
      </c>
      <c r="M244" s="385">
        <v>865767.48</v>
      </c>
      <c r="N244" s="53">
        <f>L244-M244</f>
        <v>1340314.92</v>
      </c>
      <c r="O244" s="53">
        <v>0</v>
      </c>
      <c r="P244" s="53">
        <v>0</v>
      </c>
      <c r="Q244" s="53">
        <f>N244-O244-P244</f>
        <v>1340314.92</v>
      </c>
      <c r="T244" s="53"/>
    </row>
    <row r="245" spans="1:20">
      <c r="A245" s="47" t="s">
        <v>16</v>
      </c>
      <c r="B245" s="48">
        <f>B$244</f>
        <v>0.55000000000000004</v>
      </c>
      <c r="C245" s="48">
        <f>C$244</f>
        <v>0</v>
      </c>
      <c r="E245" s="173"/>
      <c r="F245" s="430">
        <f>IF(E243&gt;E244,E243-E244,0)</f>
        <v>3710807.9090909092</v>
      </c>
      <c r="G245" s="53">
        <f>F245*(B245-C245)/100</f>
        <v>20409.443500000005</v>
      </c>
      <c r="H245" s="53"/>
      <c r="I245" s="53">
        <f>F245*C245/100</f>
        <v>0</v>
      </c>
      <c r="J245" s="53"/>
      <c r="K245" s="53"/>
      <c r="L245" s="53">
        <f>G245+H245+I245-J245+K245</f>
        <v>20409.443500000005</v>
      </c>
      <c r="M245" s="53"/>
      <c r="N245" s="53">
        <f>L245-M245</f>
        <v>20409.443500000005</v>
      </c>
      <c r="O245" s="53"/>
      <c r="P245" s="53"/>
      <c r="Q245" s="53">
        <f>N245-O245-P245</f>
        <v>20409.443500000005</v>
      </c>
      <c r="T245" s="53"/>
    </row>
    <row r="246" spans="1:20">
      <c r="A246" s="47" t="s">
        <v>17</v>
      </c>
      <c r="B246" s="48">
        <f t="shared" ref="B246:C249" si="72">B$244</f>
        <v>0.55000000000000004</v>
      </c>
      <c r="C246" s="48">
        <f t="shared" si="72"/>
        <v>0</v>
      </c>
      <c r="E246" s="173"/>
      <c r="F246" s="417">
        <v>1316432</v>
      </c>
      <c r="G246" s="53"/>
      <c r="H246" s="53">
        <f>F246*(B246-C246)/100</f>
        <v>7240.3760000000011</v>
      </c>
      <c r="I246" s="53">
        <f>F246*C246/100</f>
        <v>0</v>
      </c>
      <c r="J246" s="53">
        <v>0</v>
      </c>
      <c r="K246" s="53">
        <v>0</v>
      </c>
      <c r="L246" s="53">
        <f>G246+H246+I246-J246+K246</f>
        <v>7240.3760000000011</v>
      </c>
      <c r="M246" s="53">
        <v>0</v>
      </c>
      <c r="N246" s="53">
        <f>L246-M246</f>
        <v>7240.3760000000011</v>
      </c>
      <c r="O246" s="53">
        <v>0</v>
      </c>
      <c r="P246" s="53">
        <v>0</v>
      </c>
      <c r="Q246" s="53">
        <f>N246-O246-P246</f>
        <v>7240.3760000000011</v>
      </c>
      <c r="T246" s="53"/>
    </row>
    <row r="247" spans="1:20">
      <c r="A247" s="47" t="s">
        <v>18</v>
      </c>
      <c r="B247" s="48"/>
      <c r="C247" s="48"/>
      <c r="E247" s="173"/>
      <c r="F247" s="41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T247" s="53"/>
    </row>
    <row r="248" spans="1:20">
      <c r="A248" s="67" t="s">
        <v>19</v>
      </c>
      <c r="B248" s="48">
        <f t="shared" si="72"/>
        <v>0.55000000000000004</v>
      </c>
      <c r="C248" s="48">
        <f t="shared" si="72"/>
        <v>0</v>
      </c>
      <c r="E248" s="173"/>
      <c r="F248" s="413">
        <v>3746851.54</v>
      </c>
      <c r="G248" s="53">
        <v>622.33000000000004</v>
      </c>
      <c r="H248" s="53">
        <v>19989.21</v>
      </c>
      <c r="I248" s="53">
        <v>0</v>
      </c>
      <c r="J248" s="53">
        <v>701.12</v>
      </c>
      <c r="K248" s="53">
        <v>0</v>
      </c>
      <c r="L248" s="53">
        <f>G248+H248+I248-J248+K248</f>
        <v>19910.420000000002</v>
      </c>
      <c r="M248" s="53">
        <v>1151.77</v>
      </c>
      <c r="N248" s="53">
        <f>L248-M248</f>
        <v>18758.650000000001</v>
      </c>
      <c r="O248" s="53">
        <v>0</v>
      </c>
      <c r="P248" s="53">
        <v>0</v>
      </c>
      <c r="Q248" s="53">
        <f>N248-O248-P248</f>
        <v>18758.650000000001</v>
      </c>
      <c r="T248" s="53"/>
    </row>
    <row r="249" spans="1:20">
      <c r="A249" s="67" t="s">
        <v>20</v>
      </c>
      <c r="B249" s="48">
        <f t="shared" si="72"/>
        <v>0.55000000000000004</v>
      </c>
      <c r="C249" s="48">
        <f t="shared" si="72"/>
        <v>0</v>
      </c>
      <c r="E249" s="173"/>
      <c r="F249" s="339">
        <v>736205.82</v>
      </c>
      <c r="G249" s="292">
        <v>4049.13</v>
      </c>
      <c r="H249" s="53"/>
      <c r="I249" s="53"/>
      <c r="J249" s="53">
        <v>0</v>
      </c>
      <c r="K249" s="53">
        <v>0</v>
      </c>
      <c r="L249" s="53">
        <f>G249+H249+I249-J249+K249</f>
        <v>4049.13</v>
      </c>
      <c r="M249" s="53">
        <v>0</v>
      </c>
      <c r="N249" s="53">
        <f>L249-M249</f>
        <v>4049.13</v>
      </c>
      <c r="O249" s="53">
        <v>0</v>
      </c>
      <c r="P249" s="53">
        <v>0</v>
      </c>
      <c r="Q249" s="53">
        <f>N249-O249-P249</f>
        <v>4049.13</v>
      </c>
      <c r="S249" s="53">
        <f>Q248+Q249</f>
        <v>22807.780000000002</v>
      </c>
      <c r="T249" s="53"/>
    </row>
    <row r="250" spans="1:20">
      <c r="A250" s="47"/>
      <c r="B250" s="48"/>
      <c r="C250" s="48"/>
      <c r="E250" s="173"/>
      <c r="F250" s="41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T250" s="53"/>
    </row>
    <row r="251" spans="1:20" s="50" customFormat="1" ht="13.5" thickBot="1">
      <c r="A251" s="160" t="str">
        <f>"TOTAL "&amp; A242</f>
        <v>TOTAL GARDNERVILLE RANCHOS GID</v>
      </c>
      <c r="B251" s="68">
        <f>B244</f>
        <v>0.55000000000000004</v>
      </c>
      <c r="C251" s="68">
        <f>C244</f>
        <v>0</v>
      </c>
      <c r="D251" s="69">
        <f t="shared" ref="D251:Q251" si="73">SUM(D244:D246,D248:D249)</f>
        <v>4144</v>
      </c>
      <c r="E251" s="204"/>
      <c r="F251" s="414">
        <f t="shared" si="73"/>
        <v>410540818.26909095</v>
      </c>
      <c r="G251" s="70">
        <f t="shared" si="73"/>
        <v>25466.283500000009</v>
      </c>
      <c r="H251" s="70">
        <f t="shared" si="73"/>
        <v>2247536.1359999999</v>
      </c>
      <c r="I251" s="70">
        <f t="shared" si="73"/>
        <v>0</v>
      </c>
      <c r="J251" s="70">
        <f t="shared" si="73"/>
        <v>15310.650000000001</v>
      </c>
      <c r="K251" s="70">
        <f t="shared" si="73"/>
        <v>0</v>
      </c>
      <c r="L251" s="70">
        <f t="shared" si="73"/>
        <v>2257691.7694999999</v>
      </c>
      <c r="M251" s="70">
        <f t="shared" si="73"/>
        <v>866919.25</v>
      </c>
      <c r="N251" s="70">
        <f t="shared" si="73"/>
        <v>1390772.5194999997</v>
      </c>
      <c r="O251" s="70">
        <f t="shared" si="73"/>
        <v>0</v>
      </c>
      <c r="P251" s="70">
        <f t="shared" si="73"/>
        <v>0</v>
      </c>
      <c r="Q251" s="70">
        <f t="shared" si="73"/>
        <v>1390772.5194999997</v>
      </c>
      <c r="T251" s="59"/>
    </row>
    <row r="252" spans="1:20">
      <c r="A252" s="150" t="s">
        <v>355</v>
      </c>
      <c r="B252" s="48"/>
      <c r="C252" s="48"/>
      <c r="E252" s="173"/>
      <c r="F252" s="428">
        <v>410414044</v>
      </c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T252" s="53"/>
    </row>
    <row r="253" spans="1:20">
      <c r="A253" s="151" t="s">
        <v>30</v>
      </c>
      <c r="B253" s="48"/>
      <c r="C253" s="48"/>
      <c r="E253" s="173"/>
      <c r="F253" s="429">
        <f>F251-F252</f>
        <v>126774.26909095049</v>
      </c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T253" s="53"/>
    </row>
    <row r="254" spans="1:20">
      <c r="A254" s="54" t="s">
        <v>49</v>
      </c>
      <c r="B254" s="84"/>
      <c r="C254" s="84"/>
      <c r="D254" s="52"/>
      <c r="E254" s="210"/>
      <c r="F254" s="384"/>
      <c r="G254" s="6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T254" s="53"/>
    </row>
    <row r="255" spans="1:20">
      <c r="E255" s="65">
        <v>1386309</v>
      </c>
      <c r="F255" s="41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T255" s="53"/>
    </row>
    <row r="256" spans="1:20">
      <c r="A256" s="49" t="s">
        <v>15</v>
      </c>
      <c r="B256" s="48">
        <v>0.79010000000000002</v>
      </c>
      <c r="C256" s="48">
        <v>0</v>
      </c>
      <c r="D256" s="434">
        <v>1848</v>
      </c>
      <c r="E256" s="173">
        <f>G256/B256*100</f>
        <v>22152.892038982405</v>
      </c>
      <c r="F256" s="408">
        <v>181800950</v>
      </c>
      <c r="G256" s="385">
        <v>175.03</v>
      </c>
      <c r="H256" s="53">
        <v>1442619.09</v>
      </c>
      <c r="I256" s="53"/>
      <c r="J256" s="53">
        <v>6384.72</v>
      </c>
      <c r="K256" s="385">
        <v>159.85</v>
      </c>
      <c r="L256" s="53">
        <f>G256+H256+I256-J256+K256</f>
        <v>1436569.2500000002</v>
      </c>
      <c r="M256" s="385">
        <v>184196.85</v>
      </c>
      <c r="N256" s="53">
        <f>L256-M256</f>
        <v>1252372.4000000001</v>
      </c>
      <c r="O256" s="53">
        <v>0</v>
      </c>
      <c r="P256" s="53">
        <v>0</v>
      </c>
      <c r="Q256" s="53">
        <f>N256-O256-P256</f>
        <v>1252372.4000000001</v>
      </c>
      <c r="T256" s="53"/>
    </row>
    <row r="257" spans="1:20">
      <c r="A257" s="47" t="s">
        <v>16</v>
      </c>
      <c r="B257" s="48">
        <f>B$256</f>
        <v>0.79010000000000002</v>
      </c>
      <c r="C257" s="48">
        <f>C$256</f>
        <v>0</v>
      </c>
      <c r="E257" s="173"/>
      <c r="F257" s="430">
        <f>IF(E255&gt;E256,E255-E256,0)</f>
        <v>1364156.1079610176</v>
      </c>
      <c r="G257" s="53"/>
      <c r="H257" s="53"/>
      <c r="I257" s="53">
        <f>F257*C257/100</f>
        <v>0</v>
      </c>
      <c r="J257" s="53"/>
      <c r="K257" s="53"/>
      <c r="L257" s="53">
        <f>G257+H257+I257-J257+K257</f>
        <v>0</v>
      </c>
      <c r="M257" s="53"/>
      <c r="N257" s="53">
        <f>L257-M257</f>
        <v>0</v>
      </c>
      <c r="O257" s="53"/>
      <c r="P257" s="53"/>
      <c r="Q257" s="53">
        <f>N257-O257-P257</f>
        <v>0</v>
      </c>
      <c r="T257" s="53"/>
    </row>
    <row r="258" spans="1:20">
      <c r="A258" s="47" t="s">
        <v>17</v>
      </c>
      <c r="B258" s="48">
        <f t="shared" ref="B258:C261" si="74">B$256</f>
        <v>0.79010000000000002</v>
      </c>
      <c r="C258" s="48">
        <f t="shared" si="74"/>
        <v>0</v>
      </c>
      <c r="E258" s="173"/>
      <c r="F258" s="417">
        <v>1933521</v>
      </c>
      <c r="G258" s="53"/>
      <c r="H258" s="53">
        <f>F258*(B258-C258)/100</f>
        <v>15276.749421</v>
      </c>
      <c r="I258" s="53">
        <f>F258*C258/100</f>
        <v>0</v>
      </c>
      <c r="J258" s="53"/>
      <c r="K258" s="53"/>
      <c r="L258" s="53">
        <f>G258+H258+I258-J258+K258</f>
        <v>15276.749421</v>
      </c>
      <c r="M258" s="53"/>
      <c r="N258" s="53">
        <f>L258-M258</f>
        <v>15276.749421</v>
      </c>
      <c r="O258" s="53"/>
      <c r="P258" s="53"/>
      <c r="Q258" s="53">
        <f>N258-O258-P258</f>
        <v>15276.749421</v>
      </c>
      <c r="T258" s="53"/>
    </row>
    <row r="259" spans="1:20">
      <c r="A259" s="47" t="s">
        <v>18</v>
      </c>
      <c r="B259" s="48"/>
      <c r="C259" s="48"/>
      <c r="E259" s="173"/>
      <c r="F259" s="41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T259" s="53"/>
    </row>
    <row r="260" spans="1:20">
      <c r="A260" s="67" t="s">
        <v>19</v>
      </c>
      <c r="B260" s="48">
        <f t="shared" si="74"/>
        <v>0.79010000000000002</v>
      </c>
      <c r="C260" s="48">
        <f t="shared" si="74"/>
        <v>0</v>
      </c>
      <c r="E260" s="173"/>
      <c r="F260" s="413">
        <v>1966508.78</v>
      </c>
      <c r="G260" s="53">
        <v>455.67</v>
      </c>
      <c r="H260" s="53">
        <v>15085.67</v>
      </c>
      <c r="I260" s="53">
        <v>0</v>
      </c>
      <c r="J260" s="53">
        <v>499.43</v>
      </c>
      <c r="K260" s="53">
        <v>0</v>
      </c>
      <c r="L260" s="53">
        <f>G260+H260+I260-J260+K260</f>
        <v>15041.91</v>
      </c>
      <c r="M260" s="53">
        <v>849.16</v>
      </c>
      <c r="N260" s="53">
        <f>L260-M260</f>
        <v>14192.75</v>
      </c>
      <c r="O260" s="53">
        <v>0</v>
      </c>
      <c r="P260" s="53">
        <v>0</v>
      </c>
      <c r="Q260" s="53">
        <f>N260-O260-P260</f>
        <v>14192.75</v>
      </c>
      <c r="T260" s="53"/>
    </row>
    <row r="261" spans="1:20">
      <c r="A261" s="67" t="s">
        <v>20</v>
      </c>
      <c r="B261" s="48">
        <f t="shared" si="74"/>
        <v>0.79010000000000002</v>
      </c>
      <c r="C261" s="48">
        <f t="shared" si="74"/>
        <v>0</v>
      </c>
      <c r="E261" s="173"/>
      <c r="F261" s="413">
        <v>363117.39</v>
      </c>
      <c r="G261" s="53">
        <v>2868.99</v>
      </c>
      <c r="H261" s="53"/>
      <c r="I261" s="53"/>
      <c r="J261" s="53">
        <v>0</v>
      </c>
      <c r="K261" s="53">
        <v>0</v>
      </c>
      <c r="L261" s="53">
        <f>G261+H261+I261-J261+K261</f>
        <v>2868.99</v>
      </c>
      <c r="M261" s="53">
        <v>0</v>
      </c>
      <c r="N261" s="53">
        <f>L261-M261</f>
        <v>2868.99</v>
      </c>
      <c r="O261" s="53">
        <v>0</v>
      </c>
      <c r="P261" s="53">
        <v>0</v>
      </c>
      <c r="Q261" s="53">
        <f>N261-O261-P261</f>
        <v>2868.99</v>
      </c>
      <c r="S261" s="53">
        <f>Q260+Q261</f>
        <v>17061.739999999998</v>
      </c>
      <c r="T261" s="53"/>
    </row>
    <row r="262" spans="1:20">
      <c r="A262" s="47"/>
      <c r="B262" s="48"/>
      <c r="C262" s="48"/>
      <c r="E262" s="173"/>
      <c r="F262" s="41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T262" s="53"/>
    </row>
    <row r="263" spans="1:20" s="50" customFormat="1" ht="13.5" thickBot="1">
      <c r="A263" s="160" t="str">
        <f>"TOTAL "&amp; A254</f>
        <v>TOTAL INDIAN HILLS GID</v>
      </c>
      <c r="B263" s="68">
        <f>B256</f>
        <v>0.79010000000000002</v>
      </c>
      <c r="C263" s="68">
        <f>C256</f>
        <v>0</v>
      </c>
      <c r="D263" s="69">
        <f t="shared" ref="D263:Q263" si="75">SUM(D256:D258,D260:D261)</f>
        <v>1848</v>
      </c>
      <c r="E263" s="204"/>
      <c r="F263" s="414">
        <f t="shared" si="75"/>
        <v>187428253.27796102</v>
      </c>
      <c r="G263" s="70">
        <f t="shared" si="75"/>
        <v>3499.6899999999996</v>
      </c>
      <c r="H263" s="70">
        <f t="shared" si="75"/>
        <v>1472981.509421</v>
      </c>
      <c r="I263" s="70">
        <f t="shared" si="75"/>
        <v>0</v>
      </c>
      <c r="J263" s="70">
        <f t="shared" si="75"/>
        <v>6884.1500000000005</v>
      </c>
      <c r="K263" s="70">
        <f t="shared" si="75"/>
        <v>159.85</v>
      </c>
      <c r="L263" s="70">
        <f t="shared" si="75"/>
        <v>1469756.8994210002</v>
      </c>
      <c r="M263" s="70">
        <f t="shared" si="75"/>
        <v>185046.01</v>
      </c>
      <c r="N263" s="70">
        <f t="shared" si="75"/>
        <v>1284710.8894210001</v>
      </c>
      <c r="O263" s="70">
        <f t="shared" si="75"/>
        <v>0</v>
      </c>
      <c r="P263" s="70">
        <f t="shared" si="75"/>
        <v>0</v>
      </c>
      <c r="Q263" s="70">
        <f t="shared" si="75"/>
        <v>1284710.8894210001</v>
      </c>
      <c r="T263" s="59"/>
    </row>
    <row r="264" spans="1:20">
      <c r="A264" s="150" t="s">
        <v>355</v>
      </c>
      <c r="B264" s="48"/>
      <c r="C264" s="48"/>
      <c r="E264" s="173"/>
      <c r="F264" s="428">
        <v>187365543</v>
      </c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T264" s="53"/>
    </row>
    <row r="265" spans="1:20">
      <c r="A265" s="151" t="s">
        <v>30</v>
      </c>
      <c r="B265" s="48"/>
      <c r="C265" s="48"/>
      <c r="E265" s="173"/>
      <c r="F265" s="429">
        <f>F263-F264</f>
        <v>62710.277961015701</v>
      </c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T265" s="53"/>
    </row>
    <row r="266" spans="1:20">
      <c r="A266" s="54" t="s">
        <v>50</v>
      </c>
      <c r="F266" s="413"/>
      <c r="G266" s="6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T266" s="53"/>
    </row>
    <row r="267" spans="1:20">
      <c r="E267" s="65">
        <v>2917672</v>
      </c>
      <c r="F267" s="41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T267" s="53"/>
    </row>
    <row r="268" spans="1:20">
      <c r="A268" s="49" t="s">
        <v>15</v>
      </c>
      <c r="B268" s="475">
        <v>0.63690000000000002</v>
      </c>
      <c r="C268" s="48">
        <v>0</v>
      </c>
      <c r="D268" s="434">
        <v>2291</v>
      </c>
      <c r="E268" s="173">
        <f>G268/B268*100</f>
        <v>29020.254357041922</v>
      </c>
      <c r="F268" s="408">
        <v>335154556</v>
      </c>
      <c r="G268" s="53">
        <v>184.83</v>
      </c>
      <c r="H268" s="385">
        <v>2147150.36</v>
      </c>
      <c r="I268" s="53">
        <v>0</v>
      </c>
      <c r="J268" s="385">
        <v>12668.89</v>
      </c>
      <c r="K268" s="53">
        <v>17.21</v>
      </c>
      <c r="L268" s="53">
        <f>G268+H268+I268-J268+K268</f>
        <v>2134683.5099999998</v>
      </c>
      <c r="M268" s="385">
        <v>806702.12</v>
      </c>
      <c r="N268" s="53">
        <f>L268-M268</f>
        <v>1327981.3899999997</v>
      </c>
      <c r="O268" s="53">
        <v>0</v>
      </c>
      <c r="P268" s="53">
        <v>0</v>
      </c>
      <c r="Q268" s="53">
        <f>N268-O268-P268</f>
        <v>1327981.3899999997</v>
      </c>
      <c r="T268" s="53"/>
    </row>
    <row r="269" spans="1:20">
      <c r="A269" s="47" t="s">
        <v>16</v>
      </c>
      <c r="B269" s="475">
        <f>B$268</f>
        <v>0.63690000000000002</v>
      </c>
      <c r="C269" s="48">
        <f>C$268</f>
        <v>0</v>
      </c>
      <c r="E269" s="173"/>
      <c r="F269" s="416">
        <f>IF(E267&gt;E268,E267-E268,0)</f>
        <v>2888651.7456429582</v>
      </c>
      <c r="G269" s="53">
        <f>F269*(B269-C269)/100</f>
        <v>18397.822968</v>
      </c>
      <c r="H269" s="53"/>
      <c r="I269" s="53">
        <f>F269*C269/100</f>
        <v>0</v>
      </c>
      <c r="J269" s="53"/>
      <c r="K269" s="53"/>
      <c r="L269" s="53">
        <f>G269+H269+I269-J269+K269</f>
        <v>18397.822968</v>
      </c>
      <c r="M269" s="53"/>
      <c r="N269" s="53">
        <f>L269-M269</f>
        <v>18397.822968</v>
      </c>
      <c r="O269" s="53"/>
      <c r="P269" s="53"/>
      <c r="Q269" s="53">
        <f>N269-O269-P269</f>
        <v>18397.822968</v>
      </c>
      <c r="T269" s="53"/>
    </row>
    <row r="270" spans="1:20">
      <c r="A270" s="47" t="s">
        <v>17</v>
      </c>
      <c r="B270" s="475">
        <f t="shared" ref="B270:C273" si="76">B$268</f>
        <v>0.63690000000000002</v>
      </c>
      <c r="C270" s="48">
        <f t="shared" si="76"/>
        <v>0</v>
      </c>
      <c r="E270" s="173"/>
      <c r="F270" s="417">
        <v>1511067</v>
      </c>
      <c r="G270" s="53"/>
      <c r="H270" s="53">
        <f>F270*(B270-C270)/100</f>
        <v>9623.9857229999998</v>
      </c>
      <c r="I270" s="53">
        <f>F270*C270/100</f>
        <v>0</v>
      </c>
      <c r="J270" s="53">
        <v>0</v>
      </c>
      <c r="K270" s="53">
        <v>0</v>
      </c>
      <c r="L270" s="53">
        <f>G270+H270+I270-J270+K270</f>
        <v>9623.9857229999998</v>
      </c>
      <c r="M270" s="53">
        <v>0</v>
      </c>
      <c r="N270" s="53">
        <f>L270-M270</f>
        <v>9623.9857229999998</v>
      </c>
      <c r="O270" s="53">
        <v>0</v>
      </c>
      <c r="P270" s="53">
        <v>0</v>
      </c>
      <c r="Q270" s="53">
        <f>N270-O270-P270</f>
        <v>9623.9857229999998</v>
      </c>
      <c r="T270" s="53"/>
    </row>
    <row r="271" spans="1:20">
      <c r="A271" s="47" t="s">
        <v>18</v>
      </c>
      <c r="B271" s="475"/>
      <c r="C271" s="48"/>
      <c r="E271" s="173"/>
      <c r="F271" s="41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T271" s="53"/>
    </row>
    <row r="272" spans="1:20" ht="15">
      <c r="A272" s="67" t="s">
        <v>19</v>
      </c>
      <c r="B272" s="475">
        <f t="shared" si="76"/>
        <v>0.63690000000000002</v>
      </c>
      <c r="C272" s="48">
        <f t="shared" si="76"/>
        <v>0</v>
      </c>
      <c r="E272" s="173"/>
      <c r="F272" s="485">
        <v>2068521.1</v>
      </c>
      <c r="G272" s="516">
        <v>418.96</v>
      </c>
      <c r="H272" s="516">
        <v>12757.93</v>
      </c>
      <c r="I272" s="53">
        <v>0</v>
      </c>
      <c r="J272" s="53">
        <v>385.63</v>
      </c>
      <c r="K272" s="53">
        <v>0</v>
      </c>
      <c r="L272" s="53">
        <f>G272+H272+I272-J272+K272</f>
        <v>12791.26</v>
      </c>
      <c r="M272" s="53">
        <v>2550.91</v>
      </c>
      <c r="N272" s="53">
        <f>L272-M272</f>
        <v>10240.35</v>
      </c>
      <c r="O272" s="53">
        <v>0</v>
      </c>
      <c r="P272" s="53">
        <v>0</v>
      </c>
      <c r="Q272" s="53">
        <f>N272-O272-P272</f>
        <v>10240.35</v>
      </c>
      <c r="T272" s="53"/>
    </row>
    <row r="273" spans="1:20">
      <c r="A273" s="67" t="s">
        <v>20</v>
      </c>
      <c r="B273" s="475">
        <f t="shared" si="76"/>
        <v>0.63690000000000002</v>
      </c>
      <c r="C273" s="48">
        <f t="shared" si="76"/>
        <v>0</v>
      </c>
      <c r="E273" s="173"/>
      <c r="F273" s="413">
        <v>343005.59</v>
      </c>
      <c r="G273" s="53">
        <v>2094.39</v>
      </c>
      <c r="H273" s="53">
        <v>0</v>
      </c>
      <c r="I273" s="53">
        <v>0</v>
      </c>
      <c r="J273" s="53">
        <v>0</v>
      </c>
      <c r="K273" s="53">
        <v>0</v>
      </c>
      <c r="L273" s="53">
        <f>G273+H273+I273-J273+K273</f>
        <v>2094.39</v>
      </c>
      <c r="M273" s="53">
        <v>0</v>
      </c>
      <c r="N273" s="53">
        <f>L273-M273</f>
        <v>2094.39</v>
      </c>
      <c r="O273" s="53">
        <v>0</v>
      </c>
      <c r="P273" s="53">
        <v>0</v>
      </c>
      <c r="Q273" s="53">
        <f>N273-O273-P273</f>
        <v>2094.39</v>
      </c>
      <c r="S273" s="53">
        <f>Q272+Q273</f>
        <v>12334.74</v>
      </c>
      <c r="T273" s="53"/>
    </row>
    <row r="274" spans="1:20">
      <c r="A274" s="47"/>
      <c r="B274" s="475"/>
      <c r="C274" s="48"/>
      <c r="E274" s="173"/>
      <c r="F274" s="41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T274" s="53"/>
    </row>
    <row r="275" spans="1:20" s="50" customFormat="1" ht="13.5" thickBot="1">
      <c r="A275" s="160" t="str">
        <f>"TOTAL "&amp; A266</f>
        <v>TOTAL KINGSBURY GID</v>
      </c>
      <c r="B275" s="477">
        <f>B268</f>
        <v>0.63690000000000002</v>
      </c>
      <c r="C275" s="68">
        <f>C268</f>
        <v>0</v>
      </c>
      <c r="D275" s="69">
        <f t="shared" ref="D275:Q275" si="77">SUM(D268:D270,D272:D273)</f>
        <v>2291</v>
      </c>
      <c r="E275" s="204"/>
      <c r="F275" s="414">
        <f t="shared" si="77"/>
        <v>341965801.43564296</v>
      </c>
      <c r="G275" s="70">
        <f t="shared" si="77"/>
        <v>21096.002968000001</v>
      </c>
      <c r="H275" s="70">
        <f t="shared" si="77"/>
        <v>2169532.2757230001</v>
      </c>
      <c r="I275" s="70">
        <f t="shared" si="77"/>
        <v>0</v>
      </c>
      <c r="J275" s="70">
        <f t="shared" si="77"/>
        <v>13054.519999999999</v>
      </c>
      <c r="K275" s="70">
        <f t="shared" si="77"/>
        <v>17.21</v>
      </c>
      <c r="L275" s="70">
        <f t="shared" si="77"/>
        <v>2177590.9686909998</v>
      </c>
      <c r="M275" s="70">
        <f t="shared" si="77"/>
        <v>809253.03</v>
      </c>
      <c r="N275" s="70">
        <f t="shared" si="77"/>
        <v>1368337.9386909998</v>
      </c>
      <c r="O275" s="70">
        <f t="shared" si="77"/>
        <v>0</v>
      </c>
      <c r="P275" s="70">
        <f t="shared" si="77"/>
        <v>0</v>
      </c>
      <c r="Q275" s="70">
        <f t="shared" si="77"/>
        <v>1368337.9386909998</v>
      </c>
      <c r="T275" s="59"/>
    </row>
    <row r="276" spans="1:20">
      <c r="A276" s="150" t="s">
        <v>355</v>
      </c>
      <c r="B276" s="48"/>
      <c r="C276" s="48"/>
      <c r="E276" s="173"/>
      <c r="F276" s="428">
        <v>341905638</v>
      </c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T276" s="53"/>
    </row>
    <row r="277" spans="1:20">
      <c r="A277" s="151" t="s">
        <v>30</v>
      </c>
      <c r="B277" s="48"/>
      <c r="C277" s="48"/>
      <c r="E277" s="173"/>
      <c r="F277" s="429">
        <f>F275-F276</f>
        <v>60163.435642957687</v>
      </c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T277" s="53"/>
    </row>
    <row r="278" spans="1:20">
      <c r="A278" s="54" t="s">
        <v>51</v>
      </c>
      <c r="F278" s="413"/>
      <c r="G278" s="6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T278" s="53"/>
    </row>
    <row r="279" spans="1:20">
      <c r="E279" s="65">
        <v>47240</v>
      </c>
      <c r="F279" s="41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T279" s="53"/>
    </row>
    <row r="280" spans="1:20">
      <c r="A280" s="49" t="s">
        <v>15</v>
      </c>
      <c r="B280" s="475">
        <v>0.17030000000000001</v>
      </c>
      <c r="C280" s="48">
        <v>0</v>
      </c>
      <c r="D280" s="129">
        <v>80</v>
      </c>
      <c r="E280" s="173">
        <f>G280/B280*100</f>
        <v>0</v>
      </c>
      <c r="F280" s="408">
        <v>37459045</v>
      </c>
      <c r="G280" s="53">
        <v>0</v>
      </c>
      <c r="H280" s="385">
        <v>63792.74</v>
      </c>
      <c r="I280" s="53">
        <v>0</v>
      </c>
      <c r="J280" s="53">
        <v>0</v>
      </c>
      <c r="K280" s="53">
        <v>0</v>
      </c>
      <c r="L280" s="53">
        <f>G280+H280+I280-J280+K280</f>
        <v>63792.74</v>
      </c>
      <c r="M280" s="385">
        <v>19745.12</v>
      </c>
      <c r="N280" s="53">
        <f>L280-M280</f>
        <v>44047.619999999995</v>
      </c>
      <c r="O280" s="53">
        <v>0</v>
      </c>
      <c r="P280" s="53">
        <v>0</v>
      </c>
      <c r="Q280" s="53">
        <f>N280-O280-P280</f>
        <v>44047.619999999995</v>
      </c>
      <c r="T280" s="53"/>
    </row>
    <row r="281" spans="1:20">
      <c r="A281" s="47" t="s">
        <v>16</v>
      </c>
      <c r="B281" s="475">
        <f>B$280</f>
        <v>0.17030000000000001</v>
      </c>
      <c r="C281" s="48">
        <f>C$280</f>
        <v>0</v>
      </c>
      <c r="E281" s="173"/>
      <c r="F281" s="416">
        <f>IF(E279&gt;E280,E279-E280,0)</f>
        <v>47240</v>
      </c>
      <c r="G281" s="53">
        <f>F281*(B281-C281)/100</f>
        <v>80.449720000000013</v>
      </c>
      <c r="H281" s="53"/>
      <c r="I281" s="53">
        <f>F281*C281/100</f>
        <v>0</v>
      </c>
      <c r="J281" s="53"/>
      <c r="K281" s="53"/>
      <c r="L281" s="53">
        <f>G281+H281+I281-J281+K281</f>
        <v>80.449720000000013</v>
      </c>
      <c r="M281" s="53"/>
      <c r="N281" s="53">
        <f>L281-M281</f>
        <v>80.449720000000013</v>
      </c>
      <c r="O281" s="53"/>
      <c r="P281" s="53"/>
      <c r="Q281" s="53">
        <f>N281-O281-P281</f>
        <v>80.449720000000013</v>
      </c>
      <c r="T281" s="53"/>
    </row>
    <row r="282" spans="1:20">
      <c r="A282" s="47" t="s">
        <v>17</v>
      </c>
      <c r="B282" s="475">
        <f t="shared" ref="B282:C285" si="78">B$280</f>
        <v>0.17030000000000001</v>
      </c>
      <c r="C282" s="48">
        <f t="shared" si="78"/>
        <v>0</v>
      </c>
      <c r="E282" s="173"/>
      <c r="F282" s="417">
        <v>35602</v>
      </c>
      <c r="G282" s="53"/>
      <c r="H282" s="53">
        <f>F282*(B282-C282)/100</f>
        <v>60.630206000000001</v>
      </c>
      <c r="I282" s="53">
        <f>F282*C282/100</f>
        <v>0</v>
      </c>
      <c r="J282" s="53">
        <v>0</v>
      </c>
      <c r="K282" s="53">
        <v>0</v>
      </c>
      <c r="L282" s="53">
        <f>G282+H282+I282-J282+K282</f>
        <v>60.630206000000001</v>
      </c>
      <c r="M282" s="53">
        <v>0</v>
      </c>
      <c r="N282" s="53">
        <f>L282-M282</f>
        <v>60.630206000000001</v>
      </c>
      <c r="O282" s="53">
        <v>0</v>
      </c>
      <c r="P282" s="53">
        <v>0</v>
      </c>
      <c r="Q282" s="53">
        <f>N282-O282-P282</f>
        <v>60.630206000000001</v>
      </c>
      <c r="T282" s="53"/>
    </row>
    <row r="283" spans="1:20">
      <c r="A283" s="47" t="s">
        <v>18</v>
      </c>
      <c r="B283" s="475"/>
      <c r="C283" s="48"/>
      <c r="E283" s="173"/>
      <c r="F283" s="41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T283" s="53"/>
    </row>
    <row r="284" spans="1:20">
      <c r="A284" s="67" t="s">
        <v>19</v>
      </c>
      <c r="B284" s="475">
        <f t="shared" si="78"/>
        <v>0.17030000000000001</v>
      </c>
      <c r="C284" s="48">
        <f t="shared" si="78"/>
        <v>0</v>
      </c>
      <c r="E284" s="173"/>
      <c r="F284" s="413">
        <v>1212498.31</v>
      </c>
      <c r="G284" s="53">
        <v>75.010000000000005</v>
      </c>
      <c r="H284" s="53">
        <v>1990.01</v>
      </c>
      <c r="I284" s="53">
        <v>0</v>
      </c>
      <c r="J284" s="53">
        <v>84.86</v>
      </c>
      <c r="K284" s="53">
        <v>0</v>
      </c>
      <c r="L284" s="53">
        <f>G284+H284+I284-J284+K284</f>
        <v>1980.16</v>
      </c>
      <c r="M284" s="53">
        <v>245.4</v>
      </c>
      <c r="N284" s="53">
        <f>L284-M284</f>
        <v>1734.76</v>
      </c>
      <c r="O284" s="53">
        <v>0</v>
      </c>
      <c r="P284" s="53">
        <v>0</v>
      </c>
      <c r="Q284" s="53">
        <f>N284-O284-P284</f>
        <v>1734.76</v>
      </c>
      <c r="T284" s="53"/>
    </row>
    <row r="285" spans="1:20">
      <c r="A285" s="67" t="s">
        <v>20</v>
      </c>
      <c r="B285" s="475">
        <f t="shared" si="78"/>
        <v>0.17030000000000001</v>
      </c>
      <c r="C285" s="48">
        <f t="shared" si="78"/>
        <v>0</v>
      </c>
      <c r="E285" s="173"/>
      <c r="F285" s="413">
        <v>292245.03999999998</v>
      </c>
      <c r="G285" s="53">
        <v>468.76</v>
      </c>
      <c r="H285" s="53"/>
      <c r="I285" s="53">
        <v>0</v>
      </c>
      <c r="J285" s="53">
        <v>0</v>
      </c>
      <c r="K285" s="53">
        <v>0</v>
      </c>
      <c r="L285" s="53">
        <f>G285+H285+I285-J285+K285</f>
        <v>468.76</v>
      </c>
      <c r="M285" s="53">
        <v>0</v>
      </c>
      <c r="N285" s="53">
        <f>L285-M285</f>
        <v>468.76</v>
      </c>
      <c r="O285" s="53">
        <v>0</v>
      </c>
      <c r="P285" s="53">
        <v>0</v>
      </c>
      <c r="Q285" s="53">
        <f>N285-O285-P285</f>
        <v>468.76</v>
      </c>
      <c r="S285" s="53">
        <f>Q284+Q285</f>
        <v>2203.52</v>
      </c>
      <c r="T285" s="53"/>
    </row>
    <row r="286" spans="1:20">
      <c r="A286" s="47"/>
      <c r="B286" s="475"/>
      <c r="C286" s="48"/>
      <c r="E286" s="173"/>
      <c r="F286" s="41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T286" s="53"/>
    </row>
    <row r="287" spans="1:20" s="50" customFormat="1" ht="13.5" thickBot="1">
      <c r="A287" s="160" t="str">
        <f>"TOTAL "&amp; A278</f>
        <v>TOTAL LAKERIDGE GID</v>
      </c>
      <c r="B287" s="477">
        <f>B280</f>
        <v>0.17030000000000001</v>
      </c>
      <c r="C287" s="68">
        <f>C280</f>
        <v>0</v>
      </c>
      <c r="D287" s="69">
        <f t="shared" ref="D287:Q287" si="79">SUM(D280:D282,D284:D285)</f>
        <v>80</v>
      </c>
      <c r="E287" s="204"/>
      <c r="F287" s="414">
        <f t="shared" si="79"/>
        <v>39046630.350000001</v>
      </c>
      <c r="G287" s="70">
        <f t="shared" si="79"/>
        <v>624.21972000000005</v>
      </c>
      <c r="H287" s="70">
        <f t="shared" si="79"/>
        <v>65843.380206000002</v>
      </c>
      <c r="I287" s="70">
        <f t="shared" si="79"/>
        <v>0</v>
      </c>
      <c r="J287" s="70">
        <f t="shared" si="79"/>
        <v>84.86</v>
      </c>
      <c r="K287" s="70">
        <f t="shared" si="79"/>
        <v>0</v>
      </c>
      <c r="L287" s="70">
        <f t="shared" si="79"/>
        <v>66382.739925999995</v>
      </c>
      <c r="M287" s="70">
        <f t="shared" si="79"/>
        <v>19990.52</v>
      </c>
      <c r="N287" s="70">
        <f t="shared" si="79"/>
        <v>46392.219925999998</v>
      </c>
      <c r="O287" s="70">
        <f t="shared" si="79"/>
        <v>0</v>
      </c>
      <c r="P287" s="70">
        <f t="shared" si="79"/>
        <v>0</v>
      </c>
      <c r="Q287" s="70">
        <f t="shared" si="79"/>
        <v>46392.219925999998</v>
      </c>
      <c r="T287" s="59"/>
    </row>
    <row r="288" spans="1:20">
      <c r="A288" s="150" t="s">
        <v>355</v>
      </c>
      <c r="B288" s="48"/>
      <c r="C288" s="48"/>
      <c r="E288" s="173"/>
      <c r="F288" s="428">
        <v>38996880</v>
      </c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T288" s="53"/>
    </row>
    <row r="289" spans="1:20">
      <c r="A289" s="151" t="s">
        <v>30</v>
      </c>
      <c r="B289" s="48"/>
      <c r="C289" s="48"/>
      <c r="E289" s="173"/>
      <c r="F289" s="429">
        <f>F287-F288</f>
        <v>49750.35000000149</v>
      </c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T289" s="53"/>
    </row>
    <row r="290" spans="1:20">
      <c r="A290" s="54" t="s">
        <v>52</v>
      </c>
      <c r="F290" s="41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T290" s="53"/>
    </row>
    <row r="291" spans="1:20">
      <c r="E291" s="65">
        <v>1076</v>
      </c>
      <c r="F291" s="41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T291" s="53"/>
    </row>
    <row r="292" spans="1:20">
      <c r="A292" s="49" t="s">
        <v>15</v>
      </c>
      <c r="B292" s="48">
        <v>0.72860000000000003</v>
      </c>
      <c r="C292" s="48">
        <v>0</v>
      </c>
      <c r="D292" s="129">
        <v>23</v>
      </c>
      <c r="E292" s="173">
        <f>G292/B292*100</f>
        <v>0</v>
      </c>
      <c r="F292" s="408">
        <v>8818096</v>
      </c>
      <c r="G292" s="53">
        <v>0</v>
      </c>
      <c r="H292" s="385">
        <v>64248.66</v>
      </c>
      <c r="I292" s="53">
        <v>0</v>
      </c>
      <c r="J292" s="53">
        <v>0</v>
      </c>
      <c r="K292" s="53">
        <v>0</v>
      </c>
      <c r="L292" s="53">
        <f>G292+H292+I292-J292+K292</f>
        <v>64248.66</v>
      </c>
      <c r="M292" s="385">
        <v>8909.1200000000008</v>
      </c>
      <c r="N292" s="53">
        <f>L292-M292</f>
        <v>55339.54</v>
      </c>
      <c r="O292" s="53">
        <v>0</v>
      </c>
      <c r="P292" s="53">
        <v>0</v>
      </c>
      <c r="Q292" s="53">
        <f>N292-O292-P292</f>
        <v>55339.54</v>
      </c>
      <c r="T292" s="53"/>
    </row>
    <row r="293" spans="1:20">
      <c r="A293" s="47" t="s">
        <v>16</v>
      </c>
      <c r="B293" s="48">
        <f>B$292</f>
        <v>0.72860000000000003</v>
      </c>
      <c r="C293" s="48">
        <f>C$292</f>
        <v>0</v>
      </c>
      <c r="E293" s="173"/>
      <c r="F293" s="416">
        <f>IF(E291&gt;E292,E291-E292,0)</f>
        <v>1076</v>
      </c>
      <c r="G293" s="53">
        <f>F293*(B293-C293)/100</f>
        <v>7.8397360000000003</v>
      </c>
      <c r="H293" s="53"/>
      <c r="I293" s="53">
        <f>F293*C293/100</f>
        <v>0</v>
      </c>
      <c r="J293" s="53"/>
      <c r="K293" s="53"/>
      <c r="L293" s="53">
        <f>G293+H293+I293-J293+K293</f>
        <v>7.8397360000000003</v>
      </c>
      <c r="M293" s="53"/>
      <c r="N293" s="53">
        <f>L293-M293</f>
        <v>7.8397360000000003</v>
      </c>
      <c r="O293" s="53"/>
      <c r="P293" s="53"/>
      <c r="Q293" s="53">
        <f>N293-O293-P293</f>
        <v>7.8397360000000003</v>
      </c>
      <c r="T293" s="53"/>
    </row>
    <row r="294" spans="1:20">
      <c r="A294" s="47" t="s">
        <v>17</v>
      </c>
      <c r="B294" s="48">
        <f t="shared" ref="B294:C297" si="80">B$292</f>
        <v>0.72860000000000003</v>
      </c>
      <c r="C294" s="48">
        <f t="shared" si="80"/>
        <v>0</v>
      </c>
      <c r="E294" s="173"/>
      <c r="F294" s="417">
        <v>0</v>
      </c>
      <c r="G294" s="53"/>
      <c r="H294" s="53">
        <f>F294*(B294-C294)/100</f>
        <v>0</v>
      </c>
      <c r="I294" s="53">
        <f>F294*C294/100</f>
        <v>0</v>
      </c>
      <c r="J294" s="53">
        <v>0</v>
      </c>
      <c r="K294" s="53">
        <v>0</v>
      </c>
      <c r="L294" s="53">
        <f>G294+H294+I294-J294+K294</f>
        <v>0</v>
      </c>
      <c r="M294" s="53">
        <v>0</v>
      </c>
      <c r="N294" s="53">
        <f>L294-M294</f>
        <v>0</v>
      </c>
      <c r="O294" s="53">
        <v>0</v>
      </c>
      <c r="P294" s="53">
        <v>0</v>
      </c>
      <c r="Q294" s="53">
        <f>N294-O294-P294</f>
        <v>0</v>
      </c>
      <c r="T294" s="53"/>
    </row>
    <row r="295" spans="1:20">
      <c r="A295" s="47" t="s">
        <v>18</v>
      </c>
      <c r="B295" s="48"/>
      <c r="C295" s="48"/>
      <c r="E295" s="173"/>
      <c r="F295" s="41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T295" s="53"/>
    </row>
    <row r="296" spans="1:20">
      <c r="A296" s="67" t="s">
        <v>19</v>
      </c>
      <c r="B296" s="48">
        <f t="shared" si="80"/>
        <v>0.72860000000000003</v>
      </c>
      <c r="C296" s="48">
        <f t="shared" si="80"/>
        <v>0</v>
      </c>
      <c r="E296" s="173"/>
      <c r="F296" s="413">
        <v>58565.77</v>
      </c>
      <c r="G296" s="53">
        <v>15.42</v>
      </c>
      <c r="H296" s="53">
        <v>411.42</v>
      </c>
      <c r="I296" s="53">
        <v>0</v>
      </c>
      <c r="J296" s="53">
        <v>17.670000000000002</v>
      </c>
      <c r="K296" s="53">
        <v>0</v>
      </c>
      <c r="L296" s="53">
        <f>G296+H296+I296-J296+K296</f>
        <v>409.17</v>
      </c>
      <c r="M296" s="53">
        <v>28.23</v>
      </c>
      <c r="N296" s="53">
        <f>L296-M296</f>
        <v>380.94</v>
      </c>
      <c r="O296" s="53">
        <v>0</v>
      </c>
      <c r="P296" s="53">
        <v>0</v>
      </c>
      <c r="Q296" s="53">
        <f>N296-O296-P296</f>
        <v>380.94</v>
      </c>
      <c r="T296" s="53"/>
    </row>
    <row r="297" spans="1:20">
      <c r="A297" s="67" t="s">
        <v>20</v>
      </c>
      <c r="B297" s="48">
        <f t="shared" si="80"/>
        <v>0.72860000000000003</v>
      </c>
      <c r="C297" s="48">
        <f t="shared" si="80"/>
        <v>0</v>
      </c>
      <c r="E297" s="173"/>
      <c r="F297" s="413">
        <v>14222.28</v>
      </c>
      <c r="G297" s="53">
        <v>103.62</v>
      </c>
      <c r="H297" s="53">
        <v>0</v>
      </c>
      <c r="I297" s="53">
        <v>0</v>
      </c>
      <c r="J297" s="53">
        <v>0</v>
      </c>
      <c r="K297" s="53">
        <v>0</v>
      </c>
      <c r="L297" s="53">
        <f>G297+H297+I297-J297+K297</f>
        <v>103.62</v>
      </c>
      <c r="M297" s="53">
        <v>0</v>
      </c>
      <c r="N297" s="53">
        <f>L297-M297</f>
        <v>103.62</v>
      </c>
      <c r="O297" s="53">
        <v>0</v>
      </c>
      <c r="P297" s="53">
        <v>0</v>
      </c>
      <c r="Q297" s="53">
        <f>N297-O297-P297</f>
        <v>103.62</v>
      </c>
      <c r="S297" s="53">
        <f>Q296+Q297</f>
        <v>484.56</v>
      </c>
      <c r="T297" s="53"/>
    </row>
    <row r="298" spans="1:20">
      <c r="A298" s="47"/>
      <c r="B298" s="48"/>
      <c r="C298" s="48"/>
      <c r="E298" s="173"/>
      <c r="F298" s="41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T298" s="53"/>
    </row>
    <row r="299" spans="1:20" s="50" customFormat="1" ht="13.5" thickBot="1">
      <c r="A299" s="160" t="str">
        <f>"TOTAL "&amp; A290</f>
        <v>TOTAL LOGAN CREEK GID</v>
      </c>
      <c r="B299" s="68">
        <f>B292</f>
        <v>0.72860000000000003</v>
      </c>
      <c r="C299" s="68">
        <f>C292</f>
        <v>0</v>
      </c>
      <c r="D299" s="69">
        <f t="shared" ref="D299:Q299" si="81">SUM(D292:D294,D296:D297)</f>
        <v>23</v>
      </c>
      <c r="E299" s="204"/>
      <c r="F299" s="414">
        <f t="shared" si="81"/>
        <v>8891960.0499999989</v>
      </c>
      <c r="G299" s="70">
        <f t="shared" si="81"/>
        <v>126.87973600000001</v>
      </c>
      <c r="H299" s="70">
        <f t="shared" si="81"/>
        <v>64660.08</v>
      </c>
      <c r="I299" s="70">
        <f t="shared" si="81"/>
        <v>0</v>
      </c>
      <c r="J299" s="70">
        <f t="shared" si="81"/>
        <v>17.670000000000002</v>
      </c>
      <c r="K299" s="70">
        <f t="shared" si="81"/>
        <v>0</v>
      </c>
      <c r="L299" s="70">
        <f t="shared" si="81"/>
        <v>64769.289736000006</v>
      </c>
      <c r="M299" s="70">
        <f t="shared" si="81"/>
        <v>8937.35</v>
      </c>
      <c r="N299" s="70">
        <f t="shared" si="81"/>
        <v>55831.939736000008</v>
      </c>
      <c r="O299" s="70">
        <f t="shared" si="81"/>
        <v>0</v>
      </c>
      <c r="P299" s="70">
        <f t="shared" si="81"/>
        <v>0</v>
      </c>
      <c r="Q299" s="70">
        <f t="shared" si="81"/>
        <v>55831.939736000008</v>
      </c>
      <c r="T299" s="59"/>
    </row>
    <row r="300" spans="1:20">
      <c r="A300" s="150" t="s">
        <v>355</v>
      </c>
      <c r="B300" s="48"/>
      <c r="C300" s="48"/>
      <c r="E300" s="173"/>
      <c r="F300" s="428">
        <v>8889553</v>
      </c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T300" s="53"/>
    </row>
    <row r="301" spans="1:20">
      <c r="A301" s="151" t="s">
        <v>30</v>
      </c>
      <c r="B301" s="48"/>
      <c r="C301" s="48"/>
      <c r="E301" s="173"/>
      <c r="F301" s="429">
        <f>F299-F300</f>
        <v>2407.0499999988824</v>
      </c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T301" s="53"/>
    </row>
    <row r="302" spans="1:20">
      <c r="A302" s="54" t="s">
        <v>53</v>
      </c>
      <c r="F302" s="413"/>
      <c r="G302" s="6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T302" s="53"/>
    </row>
    <row r="303" spans="1:20">
      <c r="E303" s="65">
        <v>21962522</v>
      </c>
      <c r="F303" s="41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T303" s="53"/>
    </row>
    <row r="304" spans="1:20">
      <c r="A304" s="49" t="s">
        <v>15</v>
      </c>
      <c r="B304" s="48">
        <v>0.12239999999999999</v>
      </c>
      <c r="C304" s="48">
        <v>0</v>
      </c>
      <c r="D304" s="434">
        <v>4531</v>
      </c>
      <c r="E304" s="173">
        <f>G304/B304*100</f>
        <v>2264558.823529412</v>
      </c>
      <c r="F304" s="408">
        <v>570396030</v>
      </c>
      <c r="G304" s="385">
        <v>2771.82</v>
      </c>
      <c r="H304" s="385">
        <v>698459.97</v>
      </c>
      <c r="I304" s="53">
        <v>0</v>
      </c>
      <c r="J304" s="385">
        <v>3069.2</v>
      </c>
      <c r="K304" s="53">
        <v>6.57</v>
      </c>
      <c r="L304" s="53">
        <f>G304+H304+I304-J304+K304</f>
        <v>698169.15999999992</v>
      </c>
      <c r="M304" s="385">
        <v>67442.94</v>
      </c>
      <c r="N304" s="53">
        <f>L304-M304</f>
        <v>630726.22</v>
      </c>
      <c r="O304" s="53">
        <v>0</v>
      </c>
      <c r="P304" s="53">
        <v>0</v>
      </c>
      <c r="Q304" s="53">
        <f>N304-O304-P304</f>
        <v>630726.22</v>
      </c>
      <c r="T304" s="53"/>
    </row>
    <row r="305" spans="1:20">
      <c r="A305" s="47" t="s">
        <v>16</v>
      </c>
      <c r="B305" s="48">
        <f>B$304</f>
        <v>0.12239999999999999</v>
      </c>
      <c r="C305" s="48">
        <f>C$304</f>
        <v>0</v>
      </c>
      <c r="E305" s="173"/>
      <c r="F305" s="416">
        <f>IF(E303&gt;E304,E303-E304,0)</f>
        <v>19697963.176470589</v>
      </c>
      <c r="G305" s="53">
        <f>F305*(B305-C305)/100</f>
        <v>24110.306927999998</v>
      </c>
      <c r="H305" s="53"/>
      <c r="I305" s="53">
        <f>F305*C305/100</f>
        <v>0</v>
      </c>
      <c r="J305" s="53"/>
      <c r="K305" s="53"/>
      <c r="L305" s="53">
        <f>G305+H305+I305-J305+K305</f>
        <v>24110.306927999998</v>
      </c>
      <c r="M305" s="53"/>
      <c r="N305" s="53">
        <f>L305-M305</f>
        <v>24110.306927999998</v>
      </c>
      <c r="O305" s="53"/>
      <c r="P305" s="53"/>
      <c r="Q305" s="53">
        <f>N305-O305-P305</f>
        <v>24110.306927999998</v>
      </c>
      <c r="T305" s="53"/>
    </row>
    <row r="306" spans="1:20">
      <c r="A306" s="47" t="s">
        <v>17</v>
      </c>
      <c r="B306" s="48">
        <f t="shared" ref="B306:C309" si="82">B$304</f>
        <v>0.12239999999999999</v>
      </c>
      <c r="C306" s="48">
        <f t="shared" si="82"/>
        <v>0</v>
      </c>
      <c r="E306" s="173"/>
      <c r="F306" s="417">
        <v>14369328</v>
      </c>
      <c r="G306" s="53"/>
      <c r="H306" s="53">
        <f>F306*(B306-C306)/100</f>
        <v>17588.057472</v>
      </c>
      <c r="I306" s="53">
        <f>F306*C306/100</f>
        <v>0</v>
      </c>
      <c r="J306" s="53">
        <v>0</v>
      </c>
      <c r="K306" s="53">
        <v>0</v>
      </c>
      <c r="L306" s="53">
        <f>G306+H306+I306-J306+K306</f>
        <v>17588.057472</v>
      </c>
      <c r="M306" s="53">
        <v>0</v>
      </c>
      <c r="N306" s="53">
        <f>L306-M306</f>
        <v>17588.057472</v>
      </c>
      <c r="O306" s="53">
        <v>0</v>
      </c>
      <c r="P306" s="53">
        <v>0</v>
      </c>
      <c r="Q306" s="53">
        <f>N306-O306-P306</f>
        <v>17588.057472</v>
      </c>
      <c r="T306" s="53"/>
    </row>
    <row r="307" spans="1:20">
      <c r="A307" s="47" t="s">
        <v>18</v>
      </c>
      <c r="B307" s="48"/>
      <c r="C307" s="48"/>
      <c r="E307" s="173"/>
      <c r="F307" s="41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T307" s="53"/>
    </row>
    <row r="308" spans="1:20">
      <c r="A308" s="67" t="s">
        <v>19</v>
      </c>
      <c r="B308" s="48">
        <f t="shared" si="82"/>
        <v>0.12239999999999999</v>
      </c>
      <c r="C308" s="48">
        <f t="shared" si="82"/>
        <v>0</v>
      </c>
      <c r="E308" s="173"/>
      <c r="F308" s="413">
        <v>4955256.93</v>
      </c>
      <c r="G308" s="53">
        <v>165.71</v>
      </c>
      <c r="H308" s="53">
        <v>5899.76</v>
      </c>
      <c r="I308" s="53">
        <v>0</v>
      </c>
      <c r="J308" s="53">
        <v>180.89</v>
      </c>
      <c r="K308" s="53">
        <v>0</v>
      </c>
      <c r="L308" s="53">
        <f>G308+H308+I308-J308+K308</f>
        <v>5884.58</v>
      </c>
      <c r="M308" s="53">
        <v>294.81</v>
      </c>
      <c r="N308" s="53">
        <f>L308-M308</f>
        <v>5589.7699999999995</v>
      </c>
      <c r="O308" s="53">
        <v>0</v>
      </c>
      <c r="P308" s="53">
        <v>0</v>
      </c>
      <c r="Q308" s="53">
        <f>N308-O308-P308</f>
        <v>5589.7699999999995</v>
      </c>
      <c r="T308" s="53"/>
    </row>
    <row r="309" spans="1:20">
      <c r="A309" s="67" t="s">
        <v>20</v>
      </c>
      <c r="B309" s="48">
        <f t="shared" si="82"/>
        <v>0.12239999999999999</v>
      </c>
      <c r="C309" s="48">
        <f t="shared" si="82"/>
        <v>0</v>
      </c>
      <c r="E309" s="173"/>
      <c r="F309" s="413">
        <v>836424.49</v>
      </c>
      <c r="G309" s="53">
        <v>1023.79</v>
      </c>
      <c r="H309" s="53"/>
      <c r="I309" s="53">
        <v>0</v>
      </c>
      <c r="J309" s="53">
        <v>0</v>
      </c>
      <c r="K309" s="53">
        <v>0</v>
      </c>
      <c r="L309" s="53">
        <f>G309+H309+I309-J309+K309</f>
        <v>1023.79</v>
      </c>
      <c r="M309" s="53">
        <v>0</v>
      </c>
      <c r="N309" s="53">
        <f>L309-M309</f>
        <v>1023.79</v>
      </c>
      <c r="O309" s="53">
        <v>0</v>
      </c>
      <c r="P309" s="53">
        <v>0</v>
      </c>
      <c r="Q309" s="53">
        <f>N309-O309-P309</f>
        <v>1023.79</v>
      </c>
      <c r="S309" s="53">
        <f>Q308+Q309</f>
        <v>6613.5599999999995</v>
      </c>
      <c r="T309" s="53"/>
    </row>
    <row r="310" spans="1:20">
      <c r="A310" s="47"/>
      <c r="B310" s="48"/>
      <c r="C310" s="48"/>
      <c r="E310" s="173"/>
      <c r="F310" s="41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T310" s="53"/>
    </row>
    <row r="311" spans="1:20" s="50" customFormat="1" ht="13.5" thickBot="1">
      <c r="A311" s="160" t="str">
        <f>"TOTAL "&amp; A302</f>
        <v>TOTAL MINDEN-GARDNERVILLE SANITATION</v>
      </c>
      <c r="B311" s="68">
        <f>B304</f>
        <v>0.12239999999999999</v>
      </c>
      <c r="C311" s="68">
        <f>C304</f>
        <v>0</v>
      </c>
      <c r="D311" s="69">
        <f t="shared" ref="D311:Q311" si="83">SUM(D304:D306,D308:D309)</f>
        <v>4531</v>
      </c>
      <c r="E311" s="204"/>
      <c r="F311" s="414">
        <f t="shared" si="83"/>
        <v>610255002.59647059</v>
      </c>
      <c r="G311" s="70">
        <f t="shared" si="83"/>
        <v>28071.626927999998</v>
      </c>
      <c r="H311" s="70">
        <f t="shared" si="83"/>
        <v>721947.787472</v>
      </c>
      <c r="I311" s="70">
        <f t="shared" si="83"/>
        <v>0</v>
      </c>
      <c r="J311" s="70">
        <f t="shared" si="83"/>
        <v>3250.0899999999997</v>
      </c>
      <c r="K311" s="70">
        <f t="shared" si="83"/>
        <v>6.57</v>
      </c>
      <c r="L311" s="70">
        <f t="shared" si="83"/>
        <v>746775.89439999987</v>
      </c>
      <c r="M311" s="70">
        <f t="shared" si="83"/>
        <v>67737.75</v>
      </c>
      <c r="N311" s="70">
        <f t="shared" si="83"/>
        <v>679038.14439999999</v>
      </c>
      <c r="O311" s="70">
        <f t="shared" si="83"/>
        <v>0</v>
      </c>
      <c r="P311" s="70">
        <f t="shared" si="83"/>
        <v>0</v>
      </c>
      <c r="Q311" s="70">
        <f t="shared" si="83"/>
        <v>679038.14439999999</v>
      </c>
      <c r="T311" s="59"/>
    </row>
    <row r="312" spans="1:20">
      <c r="A312" s="150" t="s">
        <v>355</v>
      </c>
      <c r="B312" s="48"/>
      <c r="C312" s="48"/>
      <c r="E312" s="173"/>
      <c r="F312" s="428">
        <v>610107404</v>
      </c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T312" s="53"/>
    </row>
    <row r="313" spans="1:20">
      <c r="A313" s="151" t="s">
        <v>30</v>
      </c>
      <c r="B313" s="48"/>
      <c r="C313" s="48"/>
      <c r="E313" s="173"/>
      <c r="F313" s="429">
        <f>F311-F312</f>
        <v>147598.59647059441</v>
      </c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T313" s="53"/>
    </row>
    <row r="314" spans="1:20">
      <c r="A314" s="54" t="s">
        <v>54</v>
      </c>
      <c r="F314" s="41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T314" s="53"/>
    </row>
    <row r="315" spans="1:20">
      <c r="E315" s="65">
        <v>8872767</v>
      </c>
      <c r="F315" s="41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T315" s="53"/>
    </row>
    <row r="316" spans="1:20">
      <c r="A316" s="49" t="s">
        <v>15</v>
      </c>
      <c r="B316" s="48">
        <v>0.83389999999999997</v>
      </c>
      <c r="C316" s="48">
        <v>0</v>
      </c>
      <c r="D316" s="129">
        <v>184</v>
      </c>
      <c r="E316" s="173">
        <f>G316/B316*100</f>
        <v>0</v>
      </c>
      <c r="F316" s="408">
        <v>85680504</v>
      </c>
      <c r="G316" s="385">
        <v>0</v>
      </c>
      <c r="H316" s="385">
        <v>556138</v>
      </c>
      <c r="I316" s="53">
        <v>0</v>
      </c>
      <c r="J316" s="53">
        <v>0</v>
      </c>
      <c r="K316" s="385">
        <v>0</v>
      </c>
      <c r="L316" s="53">
        <f>G316+H316+I316-J316+K316</f>
        <v>556138</v>
      </c>
      <c r="M316" s="385">
        <v>22395.81</v>
      </c>
      <c r="N316" s="53">
        <f>L316-M316</f>
        <v>533742.18999999994</v>
      </c>
      <c r="O316" s="526">
        <v>456440.14</v>
      </c>
      <c r="P316" s="53">
        <v>0</v>
      </c>
      <c r="Q316" s="53">
        <f>N316-O316-P316</f>
        <v>77302.04999999993</v>
      </c>
      <c r="T316" s="53"/>
    </row>
    <row r="317" spans="1:20">
      <c r="A317" s="47" t="s">
        <v>16</v>
      </c>
      <c r="B317" s="48">
        <f>B$316</f>
        <v>0.83389999999999997</v>
      </c>
      <c r="C317" s="48">
        <f>C$316</f>
        <v>0</v>
      </c>
      <c r="E317" s="173"/>
      <c r="F317" s="416">
        <f>IF(E315&gt;E316,E315-E316,0)</f>
        <v>8872767</v>
      </c>
      <c r="G317" s="53">
        <f>F317*(B317-C317)/100</f>
        <v>73990.004012999998</v>
      </c>
      <c r="H317" s="53"/>
      <c r="I317" s="53">
        <f>F317*C317/100</f>
        <v>0</v>
      </c>
      <c r="J317" s="53"/>
      <c r="K317" s="53"/>
      <c r="L317" s="53">
        <f>G317+H317+I317-J317+K317</f>
        <v>73990.004012999998</v>
      </c>
      <c r="M317" s="53"/>
      <c r="N317" s="53">
        <f>L317-M317</f>
        <v>73990.004012999998</v>
      </c>
      <c r="O317" s="53"/>
      <c r="P317" s="53"/>
      <c r="Q317" s="53">
        <f>N317-O317-P317</f>
        <v>73990.004012999998</v>
      </c>
      <c r="T317" s="53"/>
    </row>
    <row r="318" spans="1:20">
      <c r="A318" s="47" t="s">
        <v>17</v>
      </c>
      <c r="B318" s="48">
        <f t="shared" ref="B318:C321" si="84">B$316</f>
        <v>0.83389999999999997</v>
      </c>
      <c r="C318" s="48">
        <f t="shared" si="84"/>
        <v>0</v>
      </c>
      <c r="E318" s="173"/>
      <c r="F318" s="417">
        <v>309147</v>
      </c>
      <c r="G318" s="53"/>
      <c r="H318" s="53">
        <f>F318*(B318-C318)/100</f>
        <v>2577.9768330000002</v>
      </c>
      <c r="I318" s="53">
        <f>F318*C318/100</f>
        <v>0</v>
      </c>
      <c r="J318" s="53">
        <v>0</v>
      </c>
      <c r="K318" s="53">
        <v>0</v>
      </c>
      <c r="L318" s="53">
        <f>G318+H318+I318-J318+K318</f>
        <v>2577.9768330000002</v>
      </c>
      <c r="M318" s="53">
        <v>0</v>
      </c>
      <c r="N318" s="53">
        <f>L318-M318</f>
        <v>2577.9768330000002</v>
      </c>
      <c r="O318" s="53">
        <v>0</v>
      </c>
      <c r="P318" s="53">
        <v>0</v>
      </c>
      <c r="Q318" s="53">
        <f>N318-O318-P318</f>
        <v>2577.9768330000002</v>
      </c>
      <c r="T318" s="53"/>
    </row>
    <row r="319" spans="1:20">
      <c r="A319" s="47" t="s">
        <v>18</v>
      </c>
      <c r="B319" s="48"/>
      <c r="C319" s="48"/>
      <c r="E319" s="173"/>
      <c r="F319" s="41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T319" s="53"/>
    </row>
    <row r="320" spans="1:20">
      <c r="A320" s="67" t="s">
        <v>19</v>
      </c>
      <c r="B320" s="48">
        <f t="shared" si="84"/>
        <v>0.83389999999999997</v>
      </c>
      <c r="C320" s="48">
        <f t="shared" si="84"/>
        <v>0</v>
      </c>
      <c r="E320" s="173"/>
      <c r="F320" s="413">
        <v>208230.36</v>
      </c>
      <c r="G320" s="53">
        <v>56.97</v>
      </c>
      <c r="H320" s="53">
        <v>1579.21</v>
      </c>
      <c r="I320" s="53">
        <v>0</v>
      </c>
      <c r="J320" s="53">
        <v>56.87</v>
      </c>
      <c r="K320" s="53">
        <v>0</v>
      </c>
      <c r="L320" s="53">
        <f>G320+H320+I320-J320+K320</f>
        <v>1579.3100000000002</v>
      </c>
      <c r="M320" s="53">
        <v>517.23</v>
      </c>
      <c r="N320" s="53">
        <f>L320-M320</f>
        <v>1062.0800000000002</v>
      </c>
      <c r="O320" s="53">
        <v>0</v>
      </c>
      <c r="P320" s="53">
        <v>0</v>
      </c>
      <c r="Q320" s="53">
        <f>N320-O320-P320</f>
        <v>1062.0800000000002</v>
      </c>
      <c r="T320" s="53"/>
    </row>
    <row r="321" spans="1:20">
      <c r="A321" s="67" t="s">
        <v>20</v>
      </c>
      <c r="B321" s="48">
        <f t="shared" si="84"/>
        <v>0.83389999999999997</v>
      </c>
      <c r="C321" s="48">
        <f t="shared" si="84"/>
        <v>0</v>
      </c>
      <c r="E321" s="173"/>
      <c r="F321" s="413">
        <v>39358.080000000002</v>
      </c>
      <c r="G321" s="53">
        <v>328.21</v>
      </c>
      <c r="H321" s="53"/>
      <c r="I321" s="53">
        <v>0</v>
      </c>
      <c r="J321" s="53">
        <v>0</v>
      </c>
      <c r="K321" s="53">
        <v>0</v>
      </c>
      <c r="L321" s="53">
        <f>G321+H321+I321-J321+K321</f>
        <v>328.21</v>
      </c>
      <c r="M321" s="53">
        <v>0</v>
      </c>
      <c r="N321" s="53">
        <f>L321-M321</f>
        <v>328.21</v>
      </c>
      <c r="O321" s="53">
        <v>0</v>
      </c>
      <c r="P321" s="53">
        <v>0</v>
      </c>
      <c r="Q321" s="53">
        <f>N321-O321-P321</f>
        <v>328.21</v>
      </c>
      <c r="S321" s="53">
        <f>Q320+Q321</f>
        <v>1390.2900000000002</v>
      </c>
      <c r="T321" s="53"/>
    </row>
    <row r="322" spans="1:20">
      <c r="A322" s="47"/>
      <c r="B322" s="48"/>
      <c r="C322" s="48"/>
      <c r="E322" s="173"/>
      <c r="F322" s="41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T322" s="53"/>
    </row>
    <row r="323" spans="1:20" s="50" customFormat="1" ht="13.5" thickBot="1">
      <c r="A323" s="160" t="str">
        <f>"TOTAL "&amp; A314</f>
        <v>TOTAL OLIVER PARK</v>
      </c>
      <c r="B323" s="68">
        <f>B316</f>
        <v>0.83389999999999997</v>
      </c>
      <c r="C323" s="68">
        <f>C316</f>
        <v>0</v>
      </c>
      <c r="D323" s="69">
        <f t="shared" ref="D323:Q323" si="85">SUM(D316:D318,D320:D321)</f>
        <v>184</v>
      </c>
      <c r="E323" s="204"/>
      <c r="F323" s="414">
        <f t="shared" si="85"/>
        <v>95110006.439999998</v>
      </c>
      <c r="G323" s="70">
        <f t="shared" si="85"/>
        <v>74375.184013000006</v>
      </c>
      <c r="H323" s="70">
        <f t="shared" si="85"/>
        <v>560295.18683299993</v>
      </c>
      <c r="I323" s="70">
        <f t="shared" si="85"/>
        <v>0</v>
      </c>
      <c r="J323" s="70">
        <f t="shared" si="85"/>
        <v>56.87</v>
      </c>
      <c r="K323" s="70">
        <f t="shared" si="85"/>
        <v>0</v>
      </c>
      <c r="L323" s="70">
        <f t="shared" si="85"/>
        <v>634613.50084600004</v>
      </c>
      <c r="M323" s="70">
        <f t="shared" si="85"/>
        <v>22913.040000000001</v>
      </c>
      <c r="N323" s="70">
        <f t="shared" si="85"/>
        <v>611700.46084599989</v>
      </c>
      <c r="O323" s="70">
        <f t="shared" si="85"/>
        <v>456440.14</v>
      </c>
      <c r="P323" s="70">
        <f t="shared" si="85"/>
        <v>0</v>
      </c>
      <c r="Q323" s="70">
        <f t="shared" si="85"/>
        <v>155260.3208459999</v>
      </c>
      <c r="T323" s="59"/>
    </row>
    <row r="324" spans="1:20">
      <c r="A324" s="150" t="s">
        <v>355</v>
      </c>
      <c r="B324" s="48"/>
      <c r="C324" s="48"/>
      <c r="E324" s="173"/>
      <c r="F324" s="428">
        <v>21915900</v>
      </c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T324" s="53"/>
    </row>
    <row r="325" spans="1:20">
      <c r="A325" s="151" t="s">
        <v>30</v>
      </c>
      <c r="B325" s="48"/>
      <c r="C325" s="48"/>
      <c r="E325" s="173"/>
      <c r="F325" s="429">
        <f>F323-F324</f>
        <v>73194106.439999998</v>
      </c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T325" s="53"/>
    </row>
    <row r="326" spans="1:20">
      <c r="A326" s="15" t="s">
        <v>419</v>
      </c>
      <c r="F326" s="413"/>
      <c r="G326" s="6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T326" s="53"/>
    </row>
    <row r="327" spans="1:20">
      <c r="E327" s="65">
        <v>441594</v>
      </c>
      <c r="F327" s="41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T327" s="53"/>
    </row>
    <row r="328" spans="1:20">
      <c r="A328" s="49" t="s">
        <v>15</v>
      </c>
      <c r="B328" s="550">
        <v>0.57740000000000002</v>
      </c>
      <c r="C328" s="48">
        <v>0</v>
      </c>
      <c r="D328" s="129">
        <v>567</v>
      </c>
      <c r="E328" s="173">
        <f>G328/B328*100</f>
        <v>0</v>
      </c>
      <c r="F328" s="408">
        <v>142316649</v>
      </c>
      <c r="G328" s="53">
        <v>0</v>
      </c>
      <c r="H328" s="385">
        <v>822156.68</v>
      </c>
      <c r="I328" s="53">
        <v>0</v>
      </c>
      <c r="J328" s="385">
        <v>267.06</v>
      </c>
      <c r="K328" s="53">
        <v>0</v>
      </c>
      <c r="L328" s="53">
        <f>G328+H328+I328-J328+K328</f>
        <v>821889.62</v>
      </c>
      <c r="M328" s="385">
        <v>498815.04</v>
      </c>
      <c r="N328" s="53">
        <f>L328-M328</f>
        <v>323074.58</v>
      </c>
      <c r="O328" s="53">
        <v>0</v>
      </c>
      <c r="P328" s="53">
        <v>0</v>
      </c>
      <c r="Q328" s="53">
        <f>N328-O328-P328</f>
        <v>323074.58</v>
      </c>
      <c r="T328" s="53"/>
    </row>
    <row r="329" spans="1:20">
      <c r="A329" s="47" t="s">
        <v>16</v>
      </c>
      <c r="B329" s="550">
        <f>B$328</f>
        <v>0.57740000000000002</v>
      </c>
      <c r="C329" s="48">
        <f>C$328</f>
        <v>0</v>
      </c>
      <c r="E329" s="173"/>
      <c r="F329" s="416">
        <f>IF(E327&gt;E328,E327-E328,0)</f>
        <v>441594</v>
      </c>
      <c r="G329" s="53">
        <f>F329*(B329-C329)/100</f>
        <v>2549.7637559999998</v>
      </c>
      <c r="H329" s="18"/>
      <c r="I329" s="53">
        <f>F329*C329/100</f>
        <v>0</v>
      </c>
      <c r="J329" s="53"/>
      <c r="K329" s="53"/>
      <c r="L329" s="53">
        <f>G329+H329+I329-J329+K329</f>
        <v>2549.7637559999998</v>
      </c>
      <c r="M329" s="53"/>
      <c r="N329" s="53">
        <f>L329-M329</f>
        <v>2549.7637559999998</v>
      </c>
      <c r="O329" s="53"/>
      <c r="P329" s="53"/>
      <c r="Q329" s="53">
        <f>N329-O329-P329</f>
        <v>2549.7637559999998</v>
      </c>
      <c r="T329" s="53"/>
    </row>
    <row r="330" spans="1:20">
      <c r="A330" s="47" t="s">
        <v>17</v>
      </c>
      <c r="B330" s="550">
        <f t="shared" ref="B330:C333" si="86">B$328</f>
        <v>0.57740000000000002</v>
      </c>
      <c r="C330" s="48">
        <f t="shared" si="86"/>
        <v>0</v>
      </c>
      <c r="E330" s="173"/>
      <c r="F330" s="417">
        <v>973144</v>
      </c>
      <c r="G330" s="53"/>
      <c r="H330" s="53">
        <f>F330*(B330-C330)/100</f>
        <v>5618.9334559999998</v>
      </c>
      <c r="I330" s="53">
        <f>F330*C330/100</f>
        <v>0</v>
      </c>
      <c r="J330" s="53">
        <v>0</v>
      </c>
      <c r="K330" s="53">
        <v>0</v>
      </c>
      <c r="L330" s="53">
        <f>G330+H330+I330-J330+K330</f>
        <v>5618.9334559999998</v>
      </c>
      <c r="M330" s="53">
        <v>0</v>
      </c>
      <c r="N330" s="53">
        <f>L330-M330</f>
        <v>5618.9334559999998</v>
      </c>
      <c r="O330" s="53">
        <v>0</v>
      </c>
      <c r="P330" s="53">
        <v>0</v>
      </c>
      <c r="Q330" s="53">
        <f>N330-O330-P330</f>
        <v>5618.9334559999998</v>
      </c>
      <c r="T330" s="53"/>
    </row>
    <row r="331" spans="1:20">
      <c r="A331" s="47" t="s">
        <v>18</v>
      </c>
      <c r="B331" s="550"/>
      <c r="C331" s="48"/>
      <c r="E331" s="173"/>
      <c r="F331" s="41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T331" s="53"/>
    </row>
    <row r="332" spans="1:20">
      <c r="A332" s="67" t="s">
        <v>19</v>
      </c>
      <c r="B332" s="550">
        <f t="shared" si="86"/>
        <v>0.57740000000000002</v>
      </c>
      <c r="C332" s="48">
        <f t="shared" si="86"/>
        <v>0</v>
      </c>
      <c r="E332" s="173"/>
      <c r="F332" s="413">
        <v>813759.93</v>
      </c>
      <c r="G332" s="53">
        <v>130.36000000000001</v>
      </c>
      <c r="H332" s="53">
        <v>4569.07</v>
      </c>
      <c r="I332" s="53">
        <v>0</v>
      </c>
      <c r="J332" s="53">
        <v>136.12</v>
      </c>
      <c r="K332" s="53">
        <v>0</v>
      </c>
      <c r="L332" s="53">
        <f>G332+H332+I332-J332+K332</f>
        <v>4563.3099999999995</v>
      </c>
      <c r="M332" s="53">
        <v>405.91</v>
      </c>
      <c r="N332" s="53">
        <f>L332-M332</f>
        <v>4157.3999999999996</v>
      </c>
      <c r="O332" s="53">
        <v>0</v>
      </c>
      <c r="P332" s="53">
        <v>0</v>
      </c>
      <c r="Q332" s="53">
        <f>N332-O332-P332</f>
        <v>4157.3999999999996</v>
      </c>
      <c r="T332" s="53"/>
    </row>
    <row r="333" spans="1:20">
      <c r="A333" s="67" t="s">
        <v>20</v>
      </c>
      <c r="B333" s="550">
        <f t="shared" si="86"/>
        <v>0.57740000000000002</v>
      </c>
      <c r="C333" s="48">
        <f t="shared" si="86"/>
        <v>0</v>
      </c>
      <c r="E333" s="173"/>
      <c r="F333" s="413">
        <v>134239.35</v>
      </c>
      <c r="G333" s="53">
        <v>775.09</v>
      </c>
      <c r="H333" s="53"/>
      <c r="I333" s="53">
        <v>0</v>
      </c>
      <c r="J333" s="53">
        <v>0</v>
      </c>
      <c r="K333" s="53">
        <v>0</v>
      </c>
      <c r="L333" s="53">
        <f>G333+H333+I333-J333+K333</f>
        <v>775.09</v>
      </c>
      <c r="M333" s="53">
        <v>0</v>
      </c>
      <c r="N333" s="53">
        <f>L333-M333</f>
        <v>775.09</v>
      </c>
      <c r="O333" s="53">
        <v>0</v>
      </c>
      <c r="P333" s="53">
        <v>0</v>
      </c>
      <c r="Q333" s="53">
        <f>N333-O333-P333</f>
        <v>775.09</v>
      </c>
      <c r="S333" s="53">
        <f>Q332+Q333</f>
        <v>4932.49</v>
      </c>
      <c r="T333" s="53"/>
    </row>
    <row r="334" spans="1:20">
      <c r="A334" s="47"/>
      <c r="B334" s="550"/>
      <c r="C334" s="48"/>
      <c r="E334" s="173"/>
      <c r="F334" s="41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T334" s="53"/>
    </row>
    <row r="335" spans="1:20" s="50" customFormat="1" ht="13.5" thickBot="1">
      <c r="A335" s="60" t="s">
        <v>420</v>
      </c>
      <c r="B335" s="554">
        <f>B328</f>
        <v>0.57740000000000002</v>
      </c>
      <c r="C335" s="68">
        <f>C328</f>
        <v>0</v>
      </c>
      <c r="D335" s="69">
        <f t="shared" ref="D335:Q335" si="87">SUM(D328:D330,D332:D333)</f>
        <v>567</v>
      </c>
      <c r="E335" s="204"/>
      <c r="F335" s="414">
        <f t="shared" si="87"/>
        <v>144679386.28</v>
      </c>
      <c r="G335" s="70">
        <f t="shared" si="87"/>
        <v>3455.2137560000001</v>
      </c>
      <c r="H335" s="70">
        <f>SUM(H328:H330,H332:H333)</f>
        <v>832344.68345600006</v>
      </c>
      <c r="I335" s="70">
        <f t="shared" si="87"/>
        <v>0</v>
      </c>
      <c r="J335" s="70">
        <f t="shared" si="87"/>
        <v>403.18</v>
      </c>
      <c r="K335" s="70">
        <f t="shared" si="87"/>
        <v>0</v>
      </c>
      <c r="L335" s="70">
        <f t="shared" si="87"/>
        <v>835396.71721200005</v>
      </c>
      <c r="M335" s="70">
        <f t="shared" si="87"/>
        <v>499220.94999999995</v>
      </c>
      <c r="N335" s="70">
        <f t="shared" si="87"/>
        <v>336175.76721200004</v>
      </c>
      <c r="O335" s="70">
        <f t="shared" si="87"/>
        <v>0</v>
      </c>
      <c r="P335" s="70">
        <f t="shared" si="87"/>
        <v>0</v>
      </c>
      <c r="Q335" s="70">
        <f t="shared" si="87"/>
        <v>336175.76721200004</v>
      </c>
      <c r="T335" s="59"/>
    </row>
    <row r="336" spans="1:20">
      <c r="A336" s="150" t="s">
        <v>355</v>
      </c>
      <c r="B336" s="48"/>
      <c r="C336" s="48"/>
      <c r="E336" s="173"/>
      <c r="F336" s="428">
        <v>144655947</v>
      </c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T336" s="53"/>
    </row>
    <row r="337" spans="1:21">
      <c r="A337" s="151" t="s">
        <v>30</v>
      </c>
      <c r="B337" s="48"/>
      <c r="C337" s="48"/>
      <c r="E337" s="173"/>
      <c r="F337" s="429">
        <f>(F335+ROUND(J335/B335,0))-F336</f>
        <v>24137.280000001192</v>
      </c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T337" s="53"/>
    </row>
    <row r="338" spans="1:21">
      <c r="A338" s="54" t="s">
        <v>55</v>
      </c>
      <c r="F338" s="413"/>
      <c r="G338" s="6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T338" s="53"/>
    </row>
    <row r="339" spans="1:21">
      <c r="E339" s="65">
        <v>837406</v>
      </c>
      <c r="F339" s="41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T339" s="53"/>
    </row>
    <row r="340" spans="1:21">
      <c r="A340" s="49" t="s">
        <v>15</v>
      </c>
      <c r="B340" s="475">
        <v>0.2903</v>
      </c>
      <c r="C340" s="48">
        <v>0</v>
      </c>
      <c r="D340" s="129">
        <v>233</v>
      </c>
      <c r="E340" s="173">
        <f>G340/B340*100</f>
        <v>8663.4516017912501</v>
      </c>
      <c r="F340" s="408">
        <v>120277631</v>
      </c>
      <c r="G340" s="53">
        <v>25.15</v>
      </c>
      <c r="H340" s="385">
        <v>349167.23</v>
      </c>
      <c r="I340" s="53">
        <v>0</v>
      </c>
      <c r="J340" s="385">
        <v>26.45</v>
      </c>
      <c r="K340" s="53">
        <v>0</v>
      </c>
      <c r="L340" s="53">
        <f>G340+H340+I340-J340+K340</f>
        <v>349165.93</v>
      </c>
      <c r="M340" s="385">
        <v>234818.26</v>
      </c>
      <c r="N340" s="53">
        <f>L340-M340</f>
        <v>114347.66999999998</v>
      </c>
      <c r="O340" s="53">
        <v>0</v>
      </c>
      <c r="P340" s="53">
        <v>0</v>
      </c>
      <c r="Q340" s="53">
        <f>N340-O340-P340</f>
        <v>114347.66999999998</v>
      </c>
      <c r="T340" s="53"/>
    </row>
    <row r="341" spans="1:21">
      <c r="A341" s="47" t="s">
        <v>16</v>
      </c>
      <c r="B341" s="475">
        <f>B$340</f>
        <v>0.2903</v>
      </c>
      <c r="C341" s="48">
        <f>C$340</f>
        <v>0</v>
      </c>
      <c r="E341" s="173"/>
      <c r="F341" s="416">
        <f>IF(E339&gt;E340,E339-E340,0)</f>
        <v>828742.5483982088</v>
      </c>
      <c r="G341" s="53">
        <f>F341*(B341-C341)/100</f>
        <v>2405.839618</v>
      </c>
      <c r="H341" s="53"/>
      <c r="I341" s="53">
        <f>F341*C341/100</f>
        <v>0</v>
      </c>
      <c r="J341" s="53"/>
      <c r="K341" s="53"/>
      <c r="L341" s="53">
        <f>G341+H341+I341-J341+K341</f>
        <v>2405.839618</v>
      </c>
      <c r="M341" s="53"/>
      <c r="N341" s="53">
        <f>L341-M341</f>
        <v>2405.839618</v>
      </c>
      <c r="O341" s="53"/>
      <c r="P341" s="53"/>
      <c r="Q341" s="53">
        <f>N341-O341-P341</f>
        <v>2405.839618</v>
      </c>
      <c r="T341" s="53"/>
    </row>
    <row r="342" spans="1:21">
      <c r="A342" s="47" t="s">
        <v>17</v>
      </c>
      <c r="B342" s="475">
        <f t="shared" ref="B342:C345" si="88">B$340</f>
        <v>0.2903</v>
      </c>
      <c r="C342" s="48">
        <f t="shared" si="88"/>
        <v>0</v>
      </c>
      <c r="E342" s="173"/>
      <c r="F342" s="417">
        <v>100981</v>
      </c>
      <c r="G342" s="53"/>
      <c r="H342" s="53">
        <f>F342*(B342-C342)/100</f>
        <v>293.14784299999997</v>
      </c>
      <c r="I342" s="53">
        <f>F342*C342/100</f>
        <v>0</v>
      </c>
      <c r="J342" s="53">
        <v>0</v>
      </c>
      <c r="K342" s="53">
        <v>0</v>
      </c>
      <c r="L342" s="53">
        <f>G342+H342+I342-J342+K342</f>
        <v>293.14784299999997</v>
      </c>
      <c r="M342" s="53">
        <v>0</v>
      </c>
      <c r="N342" s="53">
        <f>L342-M342</f>
        <v>293.14784299999997</v>
      </c>
      <c r="O342" s="53">
        <v>0</v>
      </c>
      <c r="P342" s="53">
        <v>0</v>
      </c>
      <c r="Q342" s="53">
        <f>N342-O342-P342</f>
        <v>293.14784299999997</v>
      </c>
      <c r="T342" s="53"/>
    </row>
    <row r="343" spans="1:21" ht="12" customHeight="1">
      <c r="A343" s="47" t="s">
        <v>18</v>
      </c>
      <c r="B343" s="475"/>
      <c r="C343" s="48"/>
      <c r="E343" s="173"/>
      <c r="F343" s="41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T343" s="53"/>
    </row>
    <row r="344" spans="1:21">
      <c r="A344" s="67" t="s">
        <v>19</v>
      </c>
      <c r="B344" s="475">
        <f t="shared" si="88"/>
        <v>0.2903</v>
      </c>
      <c r="C344" s="48">
        <f t="shared" si="88"/>
        <v>0</v>
      </c>
      <c r="E344" s="173"/>
      <c r="F344" s="413">
        <v>300688.53000000003</v>
      </c>
      <c r="G344" s="53">
        <v>28.95</v>
      </c>
      <c r="H344" s="53">
        <v>844.05</v>
      </c>
      <c r="I344" s="53">
        <v>0</v>
      </c>
      <c r="J344" s="53">
        <v>33.18</v>
      </c>
      <c r="K344" s="53">
        <v>0</v>
      </c>
      <c r="L344" s="53">
        <f>G344+H344+I344-J344+K344</f>
        <v>839.82</v>
      </c>
      <c r="M344" s="53">
        <v>525.95000000000005</v>
      </c>
      <c r="N344" s="53">
        <f>L344-M344</f>
        <v>313.87</v>
      </c>
      <c r="O344" s="53">
        <v>0</v>
      </c>
      <c r="P344" s="53">
        <v>0</v>
      </c>
      <c r="Q344" s="53">
        <f>N344-O344-P344</f>
        <v>313.87</v>
      </c>
      <c r="T344" s="53"/>
    </row>
    <row r="345" spans="1:21">
      <c r="A345" s="67" t="s">
        <v>20</v>
      </c>
      <c r="B345" s="475">
        <f t="shared" si="88"/>
        <v>0.2903</v>
      </c>
      <c r="C345" s="48">
        <f t="shared" si="88"/>
        <v>0</v>
      </c>
      <c r="E345" s="173"/>
      <c r="F345" s="413">
        <v>66591.88</v>
      </c>
      <c r="G345" s="53">
        <v>173.01</v>
      </c>
      <c r="H345" s="53"/>
      <c r="I345" s="53">
        <v>0</v>
      </c>
      <c r="J345" s="53">
        <v>0</v>
      </c>
      <c r="K345" s="53">
        <v>0</v>
      </c>
      <c r="L345" s="53">
        <f>G345+H345+I345-J345+K345</f>
        <v>173.01</v>
      </c>
      <c r="M345" s="53">
        <v>0</v>
      </c>
      <c r="N345" s="53">
        <f>L345-M345</f>
        <v>173.01</v>
      </c>
      <c r="O345" s="53">
        <v>0</v>
      </c>
      <c r="P345" s="53">
        <v>0</v>
      </c>
      <c r="Q345" s="53">
        <f>N345-O345-P345</f>
        <v>173.01</v>
      </c>
      <c r="S345" s="53">
        <f>Q344+Q345</f>
        <v>486.88</v>
      </c>
      <c r="T345" s="53"/>
    </row>
    <row r="346" spans="1:21">
      <c r="A346" s="47"/>
      <c r="B346" s="475"/>
      <c r="C346" s="48"/>
      <c r="E346" s="173"/>
      <c r="F346" s="41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T346" s="53"/>
    </row>
    <row r="347" spans="1:21" s="50" customFormat="1" ht="13.5" thickBot="1">
      <c r="A347" s="160" t="str">
        <f>"TOTAL "&amp; A338</f>
        <v>TOTAL SKYLAND GID</v>
      </c>
      <c r="B347" s="477">
        <f>B340</f>
        <v>0.2903</v>
      </c>
      <c r="C347" s="68">
        <f>C340</f>
        <v>0</v>
      </c>
      <c r="D347" s="69">
        <f t="shared" ref="D347:Q347" si="89">SUM(D340:D342,D344:D345)</f>
        <v>233</v>
      </c>
      <c r="E347" s="204"/>
      <c r="F347" s="414">
        <f t="shared" si="89"/>
        <v>121574634.95839821</v>
      </c>
      <c r="G347" s="70">
        <f t="shared" si="89"/>
        <v>2632.9496179999996</v>
      </c>
      <c r="H347" s="70">
        <f t="shared" si="89"/>
        <v>350304.42784299998</v>
      </c>
      <c r="I347" s="70">
        <f t="shared" si="89"/>
        <v>0</v>
      </c>
      <c r="J347" s="70">
        <f t="shared" si="89"/>
        <v>59.629999999999995</v>
      </c>
      <c r="K347" s="70">
        <f t="shared" si="89"/>
        <v>0</v>
      </c>
      <c r="L347" s="70">
        <f t="shared" si="89"/>
        <v>352877.74746100005</v>
      </c>
      <c r="M347" s="70">
        <f t="shared" si="89"/>
        <v>235344.21000000002</v>
      </c>
      <c r="N347" s="70">
        <f t="shared" si="89"/>
        <v>117533.53746099997</v>
      </c>
      <c r="O347" s="70">
        <f t="shared" si="89"/>
        <v>0</v>
      </c>
      <c r="P347" s="70">
        <f t="shared" si="89"/>
        <v>0</v>
      </c>
      <c r="Q347" s="70">
        <f t="shared" si="89"/>
        <v>117533.53746099997</v>
      </c>
      <c r="T347" s="59"/>
    </row>
    <row r="348" spans="1:21">
      <c r="A348" s="150" t="s">
        <v>355</v>
      </c>
      <c r="B348" s="48"/>
      <c r="C348" s="48"/>
      <c r="E348" s="173"/>
      <c r="F348" s="428">
        <v>121563243</v>
      </c>
      <c r="G348" s="53"/>
      <c r="H348" s="53"/>
      <c r="I348" s="53"/>
      <c r="J348" s="53"/>
      <c r="K348" s="53"/>
      <c r="L348" s="53"/>
      <c r="M348" s="53">
        <f>M347/L347</f>
        <v>0.66692845239840515</v>
      </c>
      <c r="N348" s="53"/>
      <c r="O348" s="53"/>
      <c r="P348" s="53"/>
      <c r="Q348" s="53"/>
      <c r="T348" s="53"/>
    </row>
    <row r="349" spans="1:21">
      <c r="A349" s="151" t="s">
        <v>30</v>
      </c>
      <c r="B349" s="48"/>
      <c r="C349" s="48"/>
      <c r="E349" s="173"/>
      <c r="F349" s="429">
        <f>F347-F348</f>
        <v>11391.958398208022</v>
      </c>
      <c r="G349" s="53"/>
      <c r="H349" s="53">
        <v>0</v>
      </c>
      <c r="I349" s="53"/>
      <c r="J349" s="53"/>
      <c r="K349" s="53"/>
      <c r="L349" s="53"/>
      <c r="M349" s="53">
        <f>M352/H352</f>
        <v>0.19704446280126944</v>
      </c>
      <c r="N349" s="53"/>
      <c r="O349" s="53"/>
      <c r="P349" s="53"/>
      <c r="Q349" s="53"/>
      <c r="T349" s="53"/>
    </row>
    <row r="350" spans="1:21">
      <c r="A350" s="54" t="s">
        <v>76</v>
      </c>
      <c r="F350" s="413"/>
      <c r="G350" s="6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T350" s="53"/>
    </row>
    <row r="351" spans="1:21">
      <c r="A351" s="83"/>
      <c r="B351" s="84"/>
      <c r="C351" s="84"/>
      <c r="D351" s="52"/>
      <c r="E351" s="65">
        <v>27328786</v>
      </c>
      <c r="F351" s="431"/>
      <c r="G351" s="288"/>
      <c r="H351" s="181"/>
      <c r="I351" s="181"/>
      <c r="J351" s="181"/>
      <c r="K351" s="53"/>
      <c r="L351" s="53"/>
      <c r="M351" s="53"/>
      <c r="N351" s="53"/>
      <c r="O351" s="53"/>
      <c r="P351" s="53"/>
      <c r="Q351" s="53"/>
      <c r="T351" s="53"/>
    </row>
    <row r="352" spans="1:21">
      <c r="A352" s="49" t="s">
        <v>15</v>
      </c>
      <c r="B352" s="17">
        <v>0.6381</v>
      </c>
      <c r="C352" s="17">
        <v>0.05</v>
      </c>
      <c r="D352" s="13">
        <v>5237</v>
      </c>
      <c r="E352" s="223">
        <f>G352/B352*100</f>
        <v>10401140.887008306</v>
      </c>
      <c r="F352" s="408">
        <v>1746346661</v>
      </c>
      <c r="G352" s="18">
        <v>66369.679999999993</v>
      </c>
      <c r="H352" s="18">
        <v>10058323.75</v>
      </c>
      <c r="I352" s="385">
        <v>870084.5</v>
      </c>
      <c r="J352" s="18">
        <v>26965.219999999998</v>
      </c>
      <c r="K352" s="18">
        <v>382.63</v>
      </c>
      <c r="L352" s="18">
        <f>G352+H352+I352-J352+K352</f>
        <v>10968195.34</v>
      </c>
      <c r="M352" s="18">
        <v>1981937</v>
      </c>
      <c r="N352" s="18">
        <f>L352-M352</f>
        <v>8986258.3399999999</v>
      </c>
      <c r="O352" s="18">
        <v>706251.34</v>
      </c>
      <c r="P352" s="568">
        <v>0</v>
      </c>
      <c r="Q352" s="18">
        <f>N352-O352-P352</f>
        <v>8280007</v>
      </c>
      <c r="T352" s="53">
        <v>5041574.1233333331</v>
      </c>
      <c r="U352" s="53">
        <f>Q352-T352</f>
        <v>3238432.8766666669</v>
      </c>
    </row>
    <row r="353" spans="1:21">
      <c r="A353" s="47" t="s">
        <v>16</v>
      </c>
      <c r="B353" s="48">
        <f>B$352</f>
        <v>0.6381</v>
      </c>
      <c r="C353" s="48">
        <f>C$352</f>
        <v>0.05</v>
      </c>
      <c r="E353" s="173"/>
      <c r="F353" s="416">
        <f>IF(E351&gt;E352,E351-E352,0)</f>
        <v>16927645.112991694</v>
      </c>
      <c r="G353" s="53">
        <f>F353*(B353-C353)/100</f>
        <v>99551.480909504142</v>
      </c>
      <c r="H353" s="53"/>
      <c r="I353" s="53">
        <f>F353*C353/100</f>
        <v>8463.8225564958484</v>
      </c>
      <c r="J353" s="53"/>
      <c r="K353" s="53"/>
      <c r="L353" s="53">
        <f>G353+H353+I353-J353+K353</f>
        <v>108015.30346599998</v>
      </c>
      <c r="M353" s="53"/>
      <c r="N353" s="53">
        <f>L353-M353</f>
        <v>108015.30346599998</v>
      </c>
      <c r="O353" s="53"/>
      <c r="P353" s="53"/>
      <c r="Q353" s="53">
        <f>N353-O353-P353</f>
        <v>108015.30346599998</v>
      </c>
      <c r="T353" s="53"/>
      <c r="U353" s="49">
        <f>U352/T352</f>
        <v>0.64234558442344492</v>
      </c>
    </row>
    <row r="354" spans="1:21">
      <c r="A354" s="47" t="s">
        <v>17</v>
      </c>
      <c r="B354" s="48">
        <f t="shared" ref="B354:C357" si="90">B$352</f>
        <v>0.6381</v>
      </c>
      <c r="C354" s="48">
        <f t="shared" si="90"/>
        <v>0.05</v>
      </c>
      <c r="E354" s="173"/>
      <c r="F354" s="417">
        <v>7468610</v>
      </c>
      <c r="G354" s="53"/>
      <c r="H354" s="53">
        <f>F354*(B354-C354)/100</f>
        <v>43922.89540999999</v>
      </c>
      <c r="I354" s="53">
        <f>F354*C354/100</f>
        <v>3734.3049999999998</v>
      </c>
      <c r="J354" s="53">
        <v>0</v>
      </c>
      <c r="K354" s="53">
        <v>0</v>
      </c>
      <c r="L354" s="53">
        <f>G354+H354+I354-J354+K354</f>
        <v>47657.20040999999</v>
      </c>
      <c r="M354" s="53">
        <v>0</v>
      </c>
      <c r="N354" s="53">
        <f>L354-M354</f>
        <v>47657.20040999999</v>
      </c>
      <c r="O354" s="53">
        <v>0</v>
      </c>
      <c r="P354" s="53">
        <v>0</v>
      </c>
      <c r="Q354" s="53">
        <f>N354-O354-P354</f>
        <v>47657.20040999999</v>
      </c>
      <c r="T354" s="53"/>
    </row>
    <row r="355" spans="1:21">
      <c r="A355" s="47" t="s">
        <v>18</v>
      </c>
      <c r="B355" s="48"/>
      <c r="C355" s="48"/>
      <c r="E355" s="173"/>
      <c r="F355" s="41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T355" s="53"/>
    </row>
    <row r="356" spans="1:21">
      <c r="A356" s="67" t="s">
        <v>19</v>
      </c>
      <c r="B356" s="48">
        <f t="shared" si="90"/>
        <v>0.6381</v>
      </c>
      <c r="C356" s="48">
        <f t="shared" si="90"/>
        <v>0.05</v>
      </c>
      <c r="E356" s="173"/>
      <c r="F356" s="413">
        <v>11936547.34</v>
      </c>
      <c r="G356" s="53">
        <v>38692.54</v>
      </c>
      <c r="H356" s="53">
        <v>37497.949999999997</v>
      </c>
      <c r="I356" s="53">
        <v>0</v>
      </c>
      <c r="J356" s="53">
        <v>3659.36</v>
      </c>
      <c r="K356" s="53">
        <v>0</v>
      </c>
      <c r="L356" s="53">
        <f>G356+H356+I356-J356+K356</f>
        <v>72531.12999999999</v>
      </c>
      <c r="M356" s="53">
        <v>3861.41</v>
      </c>
      <c r="N356" s="53">
        <f>L356-M356</f>
        <v>68669.719999999987</v>
      </c>
      <c r="O356" s="53">
        <v>30.71</v>
      </c>
      <c r="P356" s="53">
        <v>0</v>
      </c>
      <c r="Q356" s="53">
        <f>N356-O356-P356</f>
        <v>68639.00999999998</v>
      </c>
      <c r="T356" s="53"/>
    </row>
    <row r="357" spans="1:21">
      <c r="A357" s="67" t="s">
        <v>20</v>
      </c>
      <c r="B357" s="48">
        <f t="shared" si="90"/>
        <v>0.6381</v>
      </c>
      <c r="C357" s="48">
        <f t="shared" si="90"/>
        <v>0.05</v>
      </c>
      <c r="E357" s="173"/>
      <c r="F357" s="413">
        <v>1683115.94</v>
      </c>
      <c r="G357" s="53">
        <v>10688.19</v>
      </c>
      <c r="H357" s="53">
        <v>51.74</v>
      </c>
      <c r="I357" s="53">
        <v>0</v>
      </c>
      <c r="J357" s="53">
        <v>0</v>
      </c>
      <c r="K357" s="53">
        <v>0</v>
      </c>
      <c r="L357" s="53">
        <f>G357+H357+I357-J357+K357</f>
        <v>10739.93</v>
      </c>
      <c r="M357" s="53">
        <v>0</v>
      </c>
      <c r="N357" s="53">
        <f>L357-M357</f>
        <v>10739.93</v>
      </c>
      <c r="O357" s="53">
        <v>2.4500000000000002</v>
      </c>
      <c r="P357" s="53">
        <v>0</v>
      </c>
      <c r="Q357" s="53">
        <f>N357-O357-P357</f>
        <v>10737.48</v>
      </c>
      <c r="S357" s="53">
        <f>Q356+Q357</f>
        <v>79376.489999999976</v>
      </c>
      <c r="T357" s="53"/>
    </row>
    <row r="358" spans="1:21">
      <c r="A358" s="47"/>
      <c r="B358" s="48"/>
      <c r="C358" s="48"/>
      <c r="E358" s="173"/>
      <c r="F358" s="41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T358" s="53"/>
    </row>
    <row r="359" spans="1:21" s="50" customFormat="1" ht="13.5" thickBot="1">
      <c r="A359" s="160" t="str">
        <f>"TOTAL "&amp; A350</f>
        <v>TOTAL TAHOE-DOUGLAS FIRE PROTECTION DISTRICT</v>
      </c>
      <c r="B359" s="68">
        <f>B352</f>
        <v>0.6381</v>
      </c>
      <c r="C359" s="68">
        <f>C352</f>
        <v>0.05</v>
      </c>
      <c r="D359" s="69">
        <f t="shared" ref="D359:Q359" si="91">SUM(D352:D354,D356:D357)</f>
        <v>5237</v>
      </c>
      <c r="E359" s="204"/>
      <c r="F359" s="414">
        <f t="shared" si="91"/>
        <v>1784362579.3929918</v>
      </c>
      <c r="G359" s="70">
        <f t="shared" si="91"/>
        <v>215301.89090950415</v>
      </c>
      <c r="H359" s="70">
        <f t="shared" si="91"/>
        <v>10139796.335409999</v>
      </c>
      <c r="I359" s="70">
        <f t="shared" si="91"/>
        <v>882282.62755649595</v>
      </c>
      <c r="J359" s="70">
        <f t="shared" si="91"/>
        <v>30624.579999999998</v>
      </c>
      <c r="K359" s="70">
        <f t="shared" si="91"/>
        <v>382.63</v>
      </c>
      <c r="L359" s="70">
        <f t="shared" si="91"/>
        <v>11207138.903875999</v>
      </c>
      <c r="M359" s="70">
        <f t="shared" si="91"/>
        <v>1985798.41</v>
      </c>
      <c r="N359" s="70">
        <f t="shared" si="91"/>
        <v>9221340.493875999</v>
      </c>
      <c r="O359" s="70">
        <f t="shared" si="91"/>
        <v>706284.49999999988</v>
      </c>
      <c r="P359" s="70">
        <f t="shared" si="91"/>
        <v>0</v>
      </c>
      <c r="Q359" s="70">
        <f t="shared" si="91"/>
        <v>8515055.993875999</v>
      </c>
      <c r="T359" s="59"/>
    </row>
    <row r="360" spans="1:21">
      <c r="A360" s="150" t="s">
        <v>355</v>
      </c>
      <c r="B360" s="48"/>
      <c r="C360" s="48"/>
      <c r="E360" s="173"/>
      <c r="F360" s="428">
        <v>1634423702</v>
      </c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T360" s="53"/>
    </row>
    <row r="361" spans="1:21">
      <c r="A361" s="151" t="s">
        <v>30</v>
      </c>
      <c r="B361" s="48"/>
      <c r="C361" s="48"/>
      <c r="E361" s="173"/>
      <c r="F361" s="429">
        <f>F359-F360</f>
        <v>149938877.39299178</v>
      </c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T361" s="53"/>
    </row>
    <row r="362" spans="1:21">
      <c r="A362" s="54" t="s">
        <v>56</v>
      </c>
      <c r="B362" s="50"/>
      <c r="C362" s="50"/>
      <c r="D362" s="52"/>
      <c r="E362" s="211"/>
      <c r="F362" s="273"/>
      <c r="G362" s="6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T362" s="53"/>
    </row>
    <row r="363" spans="1:21">
      <c r="A363" s="50"/>
      <c r="E363" s="65">
        <v>6350829</v>
      </c>
      <c r="F363" s="41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T363" s="53"/>
    </row>
    <row r="364" spans="1:21">
      <c r="A364" s="49" t="s">
        <v>15</v>
      </c>
      <c r="B364" s="48">
        <v>3.5000000000000003E-2</v>
      </c>
      <c r="C364" s="48">
        <v>0</v>
      </c>
      <c r="D364" s="129">
        <v>1556</v>
      </c>
      <c r="E364" s="173">
        <f>G364/B364*100</f>
        <v>1273000</v>
      </c>
      <c r="F364" s="412">
        <v>884068444</v>
      </c>
      <c r="G364" s="53">
        <v>445.55</v>
      </c>
      <c r="H364" s="385">
        <v>309068.49</v>
      </c>
      <c r="I364" s="53">
        <v>0</v>
      </c>
      <c r="J364" s="385">
        <v>90.59</v>
      </c>
      <c r="K364" s="53">
        <v>6.75</v>
      </c>
      <c r="L364" s="53">
        <f>G364+H364+I364-J364+K364</f>
        <v>309430.19999999995</v>
      </c>
      <c r="M364" s="385">
        <v>54703.88</v>
      </c>
      <c r="N364" s="53">
        <f>L364-M364</f>
        <v>254726.31999999995</v>
      </c>
      <c r="O364" s="53">
        <v>4.67</v>
      </c>
      <c r="P364" s="53">
        <v>0</v>
      </c>
      <c r="Q364" s="53">
        <f>N364-O364-P364</f>
        <v>254721.64999999994</v>
      </c>
      <c r="T364" s="53"/>
    </row>
    <row r="365" spans="1:21">
      <c r="A365" s="47" t="s">
        <v>16</v>
      </c>
      <c r="B365" s="48">
        <f>B$364</f>
        <v>3.5000000000000003E-2</v>
      </c>
      <c r="C365" s="48">
        <f>C$364</f>
        <v>0</v>
      </c>
      <c r="E365" s="173"/>
      <c r="F365" s="416">
        <f>IF(E363&gt;E364,E363-E364,0)</f>
        <v>5077829</v>
      </c>
      <c r="G365" s="53">
        <f>F365*(B365-C365)/100</f>
        <v>1777.2401500000001</v>
      </c>
      <c r="H365" s="53"/>
      <c r="I365" s="53">
        <f>F365*C365/100</f>
        <v>0</v>
      </c>
      <c r="J365" s="53"/>
      <c r="K365" s="53"/>
      <c r="L365" s="53">
        <f>G365+H365+I365-J365+K365</f>
        <v>1777.2401500000001</v>
      </c>
      <c r="M365" s="53"/>
      <c r="N365" s="53">
        <f>L365-M365</f>
        <v>1777.2401500000001</v>
      </c>
      <c r="O365" s="53"/>
      <c r="P365" s="53"/>
      <c r="Q365" s="53">
        <f>N365-O365-P365</f>
        <v>1777.2401500000001</v>
      </c>
      <c r="T365" s="53"/>
    </row>
    <row r="366" spans="1:21">
      <c r="A366" s="47" t="s">
        <v>17</v>
      </c>
      <c r="B366" s="48">
        <f t="shared" ref="B366:C369" si="92">B$364</f>
        <v>3.5000000000000003E-2</v>
      </c>
      <c r="C366" s="48">
        <f t="shared" si="92"/>
        <v>0</v>
      </c>
      <c r="E366" s="173"/>
      <c r="F366" s="417">
        <v>3435470</v>
      </c>
      <c r="G366" s="53"/>
      <c r="H366" s="53">
        <f>F366*(B366-C366)/100</f>
        <v>1202.4145000000001</v>
      </c>
      <c r="I366" s="53">
        <f>F366*C366/100</f>
        <v>0</v>
      </c>
      <c r="J366" s="53">
        <v>0</v>
      </c>
      <c r="K366" s="53">
        <v>0</v>
      </c>
      <c r="L366" s="53">
        <f>G366+H366+I366-J366+K366</f>
        <v>1202.4145000000001</v>
      </c>
      <c r="M366" s="53">
        <v>0</v>
      </c>
      <c r="N366" s="53">
        <f>L366-M366</f>
        <v>1202.4145000000001</v>
      </c>
      <c r="O366" s="53">
        <v>0</v>
      </c>
      <c r="P366" s="53">
        <v>0</v>
      </c>
      <c r="Q366" s="53">
        <f>N366-O366-P366</f>
        <v>1202.4145000000001</v>
      </c>
      <c r="T366" s="53"/>
    </row>
    <row r="367" spans="1:21">
      <c r="A367" s="47" t="s">
        <v>18</v>
      </c>
      <c r="B367" s="48"/>
      <c r="C367" s="48"/>
      <c r="E367" s="173"/>
      <c r="F367" s="41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T367" s="53"/>
    </row>
    <row r="368" spans="1:21">
      <c r="A368" s="67" t="s">
        <v>19</v>
      </c>
      <c r="B368" s="48">
        <f t="shared" si="92"/>
        <v>3.5000000000000003E-2</v>
      </c>
      <c r="C368" s="48">
        <f t="shared" si="92"/>
        <v>0</v>
      </c>
      <c r="E368" s="173"/>
      <c r="F368" s="413">
        <v>5636460.9100000001</v>
      </c>
      <c r="G368" s="53">
        <v>74.790000000000006</v>
      </c>
      <c r="H368" s="53">
        <v>1897.98</v>
      </c>
      <c r="I368" s="53">
        <v>0</v>
      </c>
      <c r="J368" s="53">
        <v>59.78</v>
      </c>
      <c r="K368" s="53">
        <v>0</v>
      </c>
      <c r="L368" s="53">
        <f>G368+H368+I368-J368+K368</f>
        <v>1912.99</v>
      </c>
      <c r="M368" s="53">
        <v>86.48</v>
      </c>
      <c r="N368" s="53">
        <f>L368-M368</f>
        <v>1826.51</v>
      </c>
      <c r="O368" s="53">
        <v>1.68</v>
      </c>
      <c r="P368" s="53">
        <v>0</v>
      </c>
      <c r="Q368" s="53">
        <f>N368-O368-P368</f>
        <v>1824.83</v>
      </c>
      <c r="T368" s="53"/>
    </row>
    <row r="369" spans="1:20">
      <c r="A369" s="67" t="s">
        <v>20</v>
      </c>
      <c r="B369" s="48">
        <f t="shared" si="92"/>
        <v>3.5000000000000003E-2</v>
      </c>
      <c r="C369" s="48">
        <f t="shared" si="92"/>
        <v>0</v>
      </c>
      <c r="E369" s="173"/>
      <c r="F369" s="413">
        <v>886633.83</v>
      </c>
      <c r="G369" s="53">
        <v>310.32</v>
      </c>
      <c r="H369" s="53"/>
      <c r="I369" s="53">
        <v>0</v>
      </c>
      <c r="J369" s="53">
        <v>0</v>
      </c>
      <c r="K369" s="53">
        <v>0</v>
      </c>
      <c r="L369" s="53">
        <f>G369+H369+I369-J369+K369</f>
        <v>310.32</v>
      </c>
      <c r="M369" s="53">
        <v>0</v>
      </c>
      <c r="N369" s="53">
        <f>L369-M369</f>
        <v>310.32</v>
      </c>
      <c r="O369" s="53">
        <v>0.13</v>
      </c>
      <c r="P369" s="53">
        <v>0</v>
      </c>
      <c r="Q369" s="53">
        <f>N369-O369-P369</f>
        <v>310.19</v>
      </c>
      <c r="S369" s="53">
        <f>Q368+Q369</f>
        <v>2135.02</v>
      </c>
      <c r="T369" s="53"/>
    </row>
    <row r="370" spans="1:20">
      <c r="A370" s="47"/>
      <c r="B370" s="48"/>
      <c r="C370" s="48"/>
      <c r="E370" s="173"/>
      <c r="F370" s="41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T370" s="53"/>
    </row>
    <row r="371" spans="1:20" s="50" customFormat="1" ht="13.5" thickBot="1">
      <c r="A371" s="160" t="str">
        <f>"TOTAL "&amp; A362</f>
        <v>TOTAL TAHOE-DOUGLAS SEWER DISTRICT</v>
      </c>
      <c r="B371" s="68">
        <f>B364</f>
        <v>3.5000000000000003E-2</v>
      </c>
      <c r="C371" s="68">
        <f>C364</f>
        <v>0</v>
      </c>
      <c r="D371" s="69">
        <f t="shared" ref="D371:Q371" si="93">SUM(D364:D366,D368:D369)</f>
        <v>1556</v>
      </c>
      <c r="E371" s="204"/>
      <c r="F371" s="414">
        <f t="shared" si="93"/>
        <v>899104837.74000001</v>
      </c>
      <c r="G371" s="70">
        <f t="shared" si="93"/>
        <v>2607.9001500000004</v>
      </c>
      <c r="H371" s="70">
        <f t="shared" si="93"/>
        <v>312168.88449999999</v>
      </c>
      <c r="I371" s="70">
        <f t="shared" si="93"/>
        <v>0</v>
      </c>
      <c r="J371" s="70">
        <f t="shared" si="93"/>
        <v>150.37</v>
      </c>
      <c r="K371" s="70">
        <f t="shared" si="93"/>
        <v>6.75</v>
      </c>
      <c r="L371" s="70">
        <f t="shared" si="93"/>
        <v>314633.16464999999</v>
      </c>
      <c r="M371" s="70">
        <f t="shared" si="93"/>
        <v>54790.36</v>
      </c>
      <c r="N371" s="70">
        <f t="shared" si="93"/>
        <v>259842.80464999998</v>
      </c>
      <c r="O371" s="70">
        <f t="shared" si="93"/>
        <v>6.4799999999999995</v>
      </c>
      <c r="P371" s="70">
        <f t="shared" si="93"/>
        <v>0</v>
      </c>
      <c r="Q371" s="70">
        <f t="shared" si="93"/>
        <v>259836.32464999994</v>
      </c>
      <c r="T371" s="59"/>
    </row>
    <row r="372" spans="1:20">
      <c r="A372" s="150" t="s">
        <v>355</v>
      </c>
      <c r="B372" s="48"/>
      <c r="C372" s="48"/>
      <c r="E372" s="173"/>
      <c r="F372" s="428">
        <v>898934072</v>
      </c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T372" s="53"/>
    </row>
    <row r="373" spans="1:20">
      <c r="A373" s="151" t="s">
        <v>30</v>
      </c>
      <c r="B373" s="48"/>
      <c r="C373" s="48"/>
      <c r="E373" s="173"/>
      <c r="F373" s="429">
        <f>F371-F372</f>
        <v>170765.74000000954</v>
      </c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T373" s="53"/>
    </row>
    <row r="374" spans="1:20">
      <c r="A374" s="54" t="s">
        <v>57</v>
      </c>
      <c r="F374" s="413"/>
      <c r="G374" s="6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T374" s="53"/>
    </row>
    <row r="375" spans="1:20">
      <c r="E375" s="65">
        <v>360007</v>
      </c>
      <c r="F375" s="41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T375" s="53"/>
    </row>
    <row r="376" spans="1:20">
      <c r="A376" s="49" t="s">
        <v>15</v>
      </c>
      <c r="B376" s="48">
        <v>0.85460000000000003</v>
      </c>
      <c r="C376" s="48">
        <v>0</v>
      </c>
      <c r="D376" s="129">
        <v>866</v>
      </c>
      <c r="E376" s="173">
        <f>G376/B376*100</f>
        <v>53503.39340042125</v>
      </c>
      <c r="F376" s="408">
        <v>40229518</v>
      </c>
      <c r="G376" s="53">
        <v>457.24</v>
      </c>
      <c r="H376" s="53">
        <v>346672.81</v>
      </c>
      <c r="I376" s="53">
        <v>0</v>
      </c>
      <c r="J376" s="53">
        <v>3328.5</v>
      </c>
      <c r="K376" s="53">
        <v>0</v>
      </c>
      <c r="L376" s="53">
        <f>G376+H376+I376-J376+K376</f>
        <v>343801.55</v>
      </c>
      <c r="M376" s="53">
        <v>93896.03</v>
      </c>
      <c r="N376" s="53">
        <f>L376-M376</f>
        <v>249905.52</v>
      </c>
      <c r="O376" s="53">
        <v>0</v>
      </c>
      <c r="P376" s="53">
        <v>0</v>
      </c>
      <c r="Q376" s="53">
        <f>N376-O376-P376</f>
        <v>249905.52</v>
      </c>
      <c r="T376" s="53"/>
    </row>
    <row r="377" spans="1:20">
      <c r="A377" s="47" t="s">
        <v>16</v>
      </c>
      <c r="B377" s="48">
        <f>B$376</f>
        <v>0.85460000000000003</v>
      </c>
      <c r="C377" s="48">
        <f>C$376</f>
        <v>0</v>
      </c>
      <c r="E377" s="173"/>
      <c r="F377" s="416">
        <f>IF(E375&gt;E376,E375-E376,0)</f>
        <v>306503.60659957875</v>
      </c>
      <c r="G377" s="53">
        <f>F377*(B377-C377)/100</f>
        <v>2619.3798219999999</v>
      </c>
      <c r="H377" s="53"/>
      <c r="I377" s="53">
        <f>F377*C377/100</f>
        <v>0</v>
      </c>
      <c r="J377" s="53"/>
      <c r="K377" s="53"/>
      <c r="L377" s="53">
        <f>G377+H377+I377-J377+K377</f>
        <v>2619.3798219999999</v>
      </c>
      <c r="M377" s="53"/>
      <c r="N377" s="53">
        <f>L377-M377</f>
        <v>2619.3798219999999</v>
      </c>
      <c r="O377" s="53"/>
      <c r="P377" s="53"/>
      <c r="Q377" s="53">
        <f>N377-O377-P377</f>
        <v>2619.3798219999999</v>
      </c>
      <c r="T377" s="53"/>
    </row>
    <row r="378" spans="1:20">
      <c r="A378" s="47" t="s">
        <v>17</v>
      </c>
      <c r="B378" s="48">
        <f t="shared" ref="B378:C381" si="94">B$376</f>
        <v>0.85460000000000003</v>
      </c>
      <c r="C378" s="48">
        <f t="shared" si="94"/>
        <v>0</v>
      </c>
      <c r="E378" s="173"/>
      <c r="F378" s="417">
        <v>142189</v>
      </c>
      <c r="G378" s="53"/>
      <c r="H378" s="53">
        <f>F378*(B378-C378)/100</f>
        <v>1215.1471940000001</v>
      </c>
      <c r="I378" s="53">
        <f>F378*C378/100</f>
        <v>0</v>
      </c>
      <c r="J378" s="53">
        <v>0</v>
      </c>
      <c r="K378" s="53">
        <v>0</v>
      </c>
      <c r="L378" s="53">
        <f>G378+H378+I378-J378+K378</f>
        <v>1215.1471940000001</v>
      </c>
      <c r="M378" s="53">
        <v>0</v>
      </c>
      <c r="N378" s="53">
        <f>L378-M378</f>
        <v>1215.1471940000001</v>
      </c>
      <c r="O378" s="53">
        <v>0</v>
      </c>
      <c r="P378" s="53">
        <v>0</v>
      </c>
      <c r="Q378" s="53">
        <f>N378-O378-P378</f>
        <v>1215.1471940000001</v>
      </c>
      <c r="T378" s="53"/>
    </row>
    <row r="379" spans="1:20">
      <c r="A379" s="47" t="s">
        <v>18</v>
      </c>
      <c r="B379" s="48"/>
      <c r="C379" s="48"/>
      <c r="E379" s="173"/>
      <c r="F379" s="41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T379" s="53"/>
    </row>
    <row r="380" spans="1:20">
      <c r="A380" s="67" t="s">
        <v>19</v>
      </c>
      <c r="B380" s="48">
        <f t="shared" si="94"/>
        <v>0.85460000000000003</v>
      </c>
      <c r="C380" s="48">
        <f t="shared" si="94"/>
        <v>0</v>
      </c>
      <c r="E380" s="173"/>
      <c r="F380" s="413">
        <v>1644004.7</v>
      </c>
      <c r="G380" s="53">
        <v>492.24</v>
      </c>
      <c r="H380" s="53">
        <v>13562.26</v>
      </c>
      <c r="I380" s="53">
        <v>0</v>
      </c>
      <c r="J380" s="53">
        <v>565.20000000000005</v>
      </c>
      <c r="K380" s="53">
        <v>0</v>
      </c>
      <c r="L380" s="53">
        <f>G380+H380+I380-J380+K380</f>
        <v>13489.3</v>
      </c>
      <c r="M380" s="53">
        <v>901.11</v>
      </c>
      <c r="N380" s="53">
        <f>L380-M380</f>
        <v>12588.189999999999</v>
      </c>
      <c r="O380" s="53">
        <v>0</v>
      </c>
      <c r="P380" s="53">
        <v>0</v>
      </c>
      <c r="Q380" s="53">
        <f>N380-O380-P380</f>
        <v>12588.189999999999</v>
      </c>
      <c r="T380" s="53"/>
    </row>
    <row r="381" spans="1:20">
      <c r="A381" s="67" t="s">
        <v>20</v>
      </c>
      <c r="B381" s="48">
        <f t="shared" si="94"/>
        <v>0.85460000000000003</v>
      </c>
      <c r="C381" s="48">
        <f t="shared" si="94"/>
        <v>0</v>
      </c>
      <c r="E381" s="173"/>
      <c r="F381" s="413">
        <v>387098.08</v>
      </c>
      <c r="G381" s="53">
        <v>3308.14</v>
      </c>
      <c r="H381" s="53">
        <v>0</v>
      </c>
      <c r="I381" s="53">
        <v>0</v>
      </c>
      <c r="J381" s="53">
        <v>0</v>
      </c>
      <c r="K381" s="53">
        <v>0</v>
      </c>
      <c r="L381" s="53">
        <f>G381+H381+I381-J381+K381</f>
        <v>3308.14</v>
      </c>
      <c r="M381" s="53">
        <v>0</v>
      </c>
      <c r="N381" s="53">
        <f>L381-M381</f>
        <v>3308.14</v>
      </c>
      <c r="O381" s="53">
        <v>0</v>
      </c>
      <c r="P381" s="53">
        <v>0</v>
      </c>
      <c r="Q381" s="53">
        <f>N381-O381-P381</f>
        <v>3308.14</v>
      </c>
      <c r="S381" s="53">
        <f>Q380+Q381</f>
        <v>15896.329999999998</v>
      </c>
      <c r="T381" s="53"/>
    </row>
    <row r="382" spans="1:20">
      <c r="A382" s="47"/>
      <c r="B382" s="48"/>
      <c r="C382" s="48"/>
      <c r="E382" s="173"/>
      <c r="F382" s="41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T382" s="53"/>
    </row>
    <row r="383" spans="1:20" s="50" customFormat="1" ht="13.5" thickBot="1">
      <c r="A383" s="160" t="str">
        <f>"TOTAL "&amp; A374</f>
        <v>TOTAL TOPAZ RANCH ESTATES GID</v>
      </c>
      <c r="B383" s="68">
        <f>B376</f>
        <v>0.85460000000000003</v>
      </c>
      <c r="C383" s="68">
        <f>C376</f>
        <v>0</v>
      </c>
      <c r="D383" s="69">
        <f t="shared" ref="D383:Q383" si="95">SUM(D376:D378,D380:D381)</f>
        <v>866</v>
      </c>
      <c r="E383" s="204"/>
      <c r="F383" s="414">
        <f t="shared" si="95"/>
        <v>42709313.386599578</v>
      </c>
      <c r="G383" s="70">
        <f t="shared" si="95"/>
        <v>6876.9998219999998</v>
      </c>
      <c r="H383" s="70">
        <f t="shared" si="95"/>
        <v>361450.21719400003</v>
      </c>
      <c r="I383" s="70">
        <f t="shared" si="95"/>
        <v>0</v>
      </c>
      <c r="J383" s="70">
        <f t="shared" si="95"/>
        <v>3893.7</v>
      </c>
      <c r="K383" s="70">
        <f t="shared" si="95"/>
        <v>0</v>
      </c>
      <c r="L383" s="70">
        <f t="shared" si="95"/>
        <v>364433.517016</v>
      </c>
      <c r="M383" s="70">
        <f t="shared" si="95"/>
        <v>94797.14</v>
      </c>
      <c r="N383" s="70">
        <f t="shared" si="95"/>
        <v>269636.37701599998</v>
      </c>
      <c r="O383" s="70">
        <f t="shared" si="95"/>
        <v>0</v>
      </c>
      <c r="P383" s="70">
        <f t="shared" si="95"/>
        <v>0</v>
      </c>
      <c r="Q383" s="70">
        <f t="shared" si="95"/>
        <v>269636.37701599998</v>
      </c>
      <c r="T383" s="59"/>
    </row>
    <row r="384" spans="1:20">
      <c r="A384" s="150" t="s">
        <v>355</v>
      </c>
      <c r="B384" s="48"/>
      <c r="C384" s="48"/>
      <c r="E384" s="173"/>
      <c r="F384" s="428">
        <v>42643742</v>
      </c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T384" s="53"/>
    </row>
    <row r="385" spans="1:20">
      <c r="A385" s="151" t="s">
        <v>30</v>
      </c>
      <c r="B385" s="48"/>
      <c r="C385" s="48"/>
      <c r="E385" s="173"/>
      <c r="F385" s="429">
        <f>F383-F384</f>
        <v>65571.386599577963</v>
      </c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T385" s="53"/>
    </row>
    <row r="386" spans="1:20">
      <c r="A386" s="54" t="s">
        <v>58</v>
      </c>
      <c r="B386" s="50"/>
      <c r="C386" s="50"/>
      <c r="D386" s="52"/>
      <c r="E386" s="211"/>
      <c r="F386" s="273"/>
      <c r="G386" s="64"/>
      <c r="H386" s="53"/>
      <c r="I386" s="53"/>
      <c r="J386" s="53"/>
      <c r="K386" s="53"/>
      <c r="L386" s="53"/>
      <c r="M386" s="53"/>
      <c r="N386" s="53"/>
      <c r="O386" s="53"/>
      <c r="P386" s="112"/>
      <c r="Q386" s="53"/>
      <c r="T386" s="53"/>
    </row>
    <row r="387" spans="1:20">
      <c r="E387" s="65">
        <v>484741</v>
      </c>
      <c r="F387" s="41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T387" s="53"/>
    </row>
    <row r="388" spans="1:20">
      <c r="A388" s="49" t="s">
        <v>15</v>
      </c>
      <c r="B388" s="48">
        <v>0.1</v>
      </c>
      <c r="C388" s="48">
        <v>0</v>
      </c>
      <c r="D388" s="129">
        <v>78</v>
      </c>
      <c r="E388" s="173">
        <f>G388/B388*100</f>
        <v>0</v>
      </c>
      <c r="F388" s="408">
        <v>42645898</v>
      </c>
      <c r="G388" s="53">
        <v>0</v>
      </c>
      <c r="H388" s="385">
        <v>42645.91</v>
      </c>
      <c r="I388" s="53">
        <v>0</v>
      </c>
      <c r="J388" s="385">
        <v>0</v>
      </c>
      <c r="K388" s="53">
        <v>0</v>
      </c>
      <c r="L388" s="53">
        <f>G388+H388+I388-J388+K388</f>
        <v>42645.91</v>
      </c>
      <c r="M388" s="53">
        <v>10280.9</v>
      </c>
      <c r="N388" s="53">
        <f>L388-M388</f>
        <v>32365.010000000002</v>
      </c>
      <c r="O388" s="53">
        <v>0</v>
      </c>
      <c r="P388" s="53">
        <v>0</v>
      </c>
      <c r="Q388" s="53">
        <f>N388-O388-P388</f>
        <v>32365.010000000002</v>
      </c>
      <c r="T388" s="53"/>
    </row>
    <row r="389" spans="1:20">
      <c r="A389" s="47" t="s">
        <v>16</v>
      </c>
      <c r="B389" s="48">
        <f>B$388</f>
        <v>0.1</v>
      </c>
      <c r="C389" s="48">
        <f>C$388</f>
        <v>0</v>
      </c>
      <c r="E389" s="173"/>
      <c r="F389" s="416">
        <f>IF(E387&gt;E388,E387-E388,0)</f>
        <v>484741</v>
      </c>
      <c r="G389" s="53">
        <f>F389*(B389-C389)/100</f>
        <v>484.74100000000004</v>
      </c>
      <c r="H389" s="53"/>
      <c r="I389" s="53">
        <f>F389*C389/100</f>
        <v>0</v>
      </c>
      <c r="J389" s="53"/>
      <c r="K389" s="53"/>
      <c r="L389" s="53">
        <f>G389+H389+I389-J389+K389</f>
        <v>484.74100000000004</v>
      </c>
      <c r="M389" s="53"/>
      <c r="N389" s="53">
        <f>L389-M389</f>
        <v>484.74100000000004</v>
      </c>
      <c r="O389" s="53"/>
      <c r="P389" s="53"/>
      <c r="Q389" s="53">
        <f>N389-O389-P389</f>
        <v>484.74100000000004</v>
      </c>
      <c r="T389" s="53"/>
    </row>
    <row r="390" spans="1:20">
      <c r="A390" s="47" t="s">
        <v>17</v>
      </c>
      <c r="B390" s="48">
        <f t="shared" ref="B390:C393" si="96">B$388</f>
        <v>0.1</v>
      </c>
      <c r="C390" s="48">
        <f t="shared" si="96"/>
        <v>0</v>
      </c>
      <c r="E390" s="173"/>
      <c r="F390" s="417">
        <v>87130</v>
      </c>
      <c r="G390" s="53"/>
      <c r="H390" s="53">
        <f>F390*(B390-C390)/100</f>
        <v>87.13</v>
      </c>
      <c r="I390" s="53">
        <f>F390*C390/100</f>
        <v>0</v>
      </c>
      <c r="J390" s="53">
        <v>0</v>
      </c>
      <c r="K390" s="53">
        <v>0</v>
      </c>
      <c r="L390" s="53">
        <f>G390+H390+I390-J390+K390</f>
        <v>87.13</v>
      </c>
      <c r="M390" s="53">
        <v>0</v>
      </c>
      <c r="N390" s="53">
        <f>L390-M390</f>
        <v>87.13</v>
      </c>
      <c r="O390" s="53">
        <v>0</v>
      </c>
      <c r="P390" s="53">
        <v>0</v>
      </c>
      <c r="Q390" s="53">
        <f>N390-O390-P390</f>
        <v>87.13</v>
      </c>
      <c r="T390" s="53"/>
    </row>
    <row r="391" spans="1:20">
      <c r="A391" s="47" t="s">
        <v>18</v>
      </c>
      <c r="B391" s="48"/>
      <c r="C391" s="48"/>
      <c r="E391" s="173"/>
      <c r="F391" s="41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T391" s="53"/>
    </row>
    <row r="392" spans="1:20">
      <c r="A392" s="67" t="s">
        <v>19</v>
      </c>
      <c r="B392" s="48">
        <f t="shared" si="96"/>
        <v>0.1</v>
      </c>
      <c r="C392" s="48">
        <f t="shared" si="96"/>
        <v>0</v>
      </c>
      <c r="E392" s="173"/>
      <c r="F392" s="413">
        <v>101881.34</v>
      </c>
      <c r="G392" s="53">
        <v>3.42</v>
      </c>
      <c r="H392" s="53">
        <v>98.46</v>
      </c>
      <c r="I392" s="53">
        <v>0</v>
      </c>
      <c r="J392" s="53">
        <v>3.86</v>
      </c>
      <c r="K392" s="53">
        <v>0</v>
      </c>
      <c r="L392" s="53">
        <f>G392+H392+I392-J392+K392</f>
        <v>98.02</v>
      </c>
      <c r="M392" s="53">
        <v>6.27</v>
      </c>
      <c r="N392" s="53">
        <f>L392-M392</f>
        <v>91.75</v>
      </c>
      <c r="O392" s="53">
        <v>0</v>
      </c>
      <c r="P392" s="53">
        <v>0</v>
      </c>
      <c r="Q392" s="53">
        <f>N392-O392-P392</f>
        <v>91.75</v>
      </c>
      <c r="T392" s="53"/>
    </row>
    <row r="393" spans="1:20">
      <c r="A393" s="67" t="s">
        <v>20</v>
      </c>
      <c r="B393" s="48">
        <f t="shared" si="96"/>
        <v>0.1</v>
      </c>
      <c r="C393" s="48">
        <f t="shared" si="96"/>
        <v>0</v>
      </c>
      <c r="E393" s="173"/>
      <c r="F393" s="413">
        <v>22550.79</v>
      </c>
      <c r="G393" s="53">
        <v>22.55</v>
      </c>
      <c r="H393" s="53">
        <v>0</v>
      </c>
      <c r="I393" s="53">
        <v>0</v>
      </c>
      <c r="J393" s="53">
        <v>0</v>
      </c>
      <c r="K393" s="53">
        <v>0</v>
      </c>
      <c r="L393" s="53">
        <f>G393+H393+I393-J393+K393</f>
        <v>22.55</v>
      </c>
      <c r="M393" s="53">
        <v>0</v>
      </c>
      <c r="N393" s="53">
        <f>L393-M393</f>
        <v>22.55</v>
      </c>
      <c r="O393" s="53">
        <v>0</v>
      </c>
      <c r="P393" s="53">
        <v>0</v>
      </c>
      <c r="Q393" s="53">
        <f>N393-O393-P393</f>
        <v>22.55</v>
      </c>
      <c r="S393" s="53">
        <f>Q392+Q393</f>
        <v>114.3</v>
      </c>
      <c r="T393" s="53"/>
    </row>
    <row r="394" spans="1:20">
      <c r="A394" s="47"/>
      <c r="B394" s="48"/>
      <c r="C394" s="48"/>
      <c r="E394" s="173"/>
      <c r="F394" s="41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T394" s="53"/>
    </row>
    <row r="395" spans="1:20" s="50" customFormat="1" ht="13.5" thickBot="1">
      <c r="A395" s="160" t="str">
        <f>"TOTAL "&amp; A386</f>
        <v>TOTAL ZEPHYR COVE GID</v>
      </c>
      <c r="B395" s="68">
        <f>B388</f>
        <v>0.1</v>
      </c>
      <c r="C395" s="68">
        <f>C388</f>
        <v>0</v>
      </c>
      <c r="D395" s="69">
        <f t="shared" ref="D395:Q395" si="97">SUM(D388:D390,D392:D393)</f>
        <v>78</v>
      </c>
      <c r="E395" s="204"/>
      <c r="F395" s="414">
        <f t="shared" si="97"/>
        <v>43342201.130000003</v>
      </c>
      <c r="G395" s="70">
        <f t="shared" si="97"/>
        <v>510.71100000000007</v>
      </c>
      <c r="H395" s="70">
        <f t="shared" si="97"/>
        <v>42831.5</v>
      </c>
      <c r="I395" s="70">
        <f t="shared" si="97"/>
        <v>0</v>
      </c>
      <c r="J395" s="70">
        <f t="shared" si="97"/>
        <v>3.86</v>
      </c>
      <c r="K395" s="70">
        <f t="shared" si="97"/>
        <v>0</v>
      </c>
      <c r="L395" s="70">
        <f t="shared" si="97"/>
        <v>43338.351000000002</v>
      </c>
      <c r="M395" s="70">
        <f t="shared" si="97"/>
        <v>10287.17</v>
      </c>
      <c r="N395" s="70">
        <f t="shared" si="97"/>
        <v>33051.181000000004</v>
      </c>
      <c r="O395" s="70">
        <f t="shared" si="97"/>
        <v>0</v>
      </c>
      <c r="P395" s="70">
        <f t="shared" si="97"/>
        <v>0</v>
      </c>
      <c r="Q395" s="70">
        <f t="shared" si="97"/>
        <v>33051.181000000004</v>
      </c>
      <c r="T395" s="59"/>
    </row>
    <row r="396" spans="1:20">
      <c r="A396" s="150" t="s">
        <v>355</v>
      </c>
      <c r="B396" s="48"/>
      <c r="C396" s="48"/>
      <c r="E396" s="173"/>
      <c r="F396" s="428">
        <v>43338337</v>
      </c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T396" s="53"/>
    </row>
    <row r="397" spans="1:20">
      <c r="A397" s="151" t="s">
        <v>30</v>
      </c>
      <c r="B397" s="48"/>
      <c r="C397" s="48"/>
      <c r="E397" s="173"/>
      <c r="F397" s="429">
        <f>F395-F396</f>
        <v>3864.1300000026822</v>
      </c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T397" s="53"/>
    </row>
    <row r="398" spans="1:20">
      <c r="A398" s="54" t="s">
        <v>59</v>
      </c>
      <c r="E398" s="174"/>
      <c r="F398" s="413"/>
      <c r="G398" s="6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T398" s="53"/>
    </row>
    <row r="399" spans="1:20">
      <c r="A399" s="83"/>
      <c r="B399" s="85"/>
      <c r="C399" s="85"/>
      <c r="D399" s="177"/>
      <c r="E399" s="65">
        <v>169318</v>
      </c>
      <c r="F399" s="384"/>
      <c r="G399" s="86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T399" s="53"/>
    </row>
    <row r="400" spans="1:20">
      <c r="A400" s="49" t="s">
        <v>15</v>
      </c>
      <c r="B400" s="48">
        <v>0.27979999999999999</v>
      </c>
      <c r="C400" s="48">
        <v>0</v>
      </c>
      <c r="D400" s="129">
        <v>228</v>
      </c>
      <c r="E400" s="173">
        <v>0</v>
      </c>
      <c r="F400" s="408">
        <v>55670044</v>
      </c>
      <c r="G400" s="53">
        <v>0</v>
      </c>
      <c r="H400" s="53">
        <v>156146.35</v>
      </c>
      <c r="I400" s="53">
        <v>0</v>
      </c>
      <c r="J400" s="53">
        <v>381.77</v>
      </c>
      <c r="K400" s="53">
        <v>53.98</v>
      </c>
      <c r="L400" s="53">
        <f>G400+H400+I400-J400+K400</f>
        <v>155818.56000000003</v>
      </c>
      <c r="M400" s="53">
        <v>23163.15</v>
      </c>
      <c r="N400" s="53">
        <f>L400-M400</f>
        <v>132655.41000000003</v>
      </c>
      <c r="O400" s="53">
        <v>0</v>
      </c>
      <c r="P400" s="53">
        <v>0</v>
      </c>
      <c r="Q400" s="53">
        <f>N400-O400-P400</f>
        <v>132655.41000000003</v>
      </c>
      <c r="T400" s="53"/>
    </row>
    <row r="401" spans="1:20">
      <c r="A401" s="47" t="s">
        <v>16</v>
      </c>
      <c r="B401" s="48">
        <f>+B400</f>
        <v>0.27979999999999999</v>
      </c>
      <c r="C401" s="48">
        <f>C$412</f>
        <v>0</v>
      </c>
      <c r="E401" s="173"/>
      <c r="F401" s="416">
        <f>IF(E399&gt;E400,E399-E400,0)</f>
        <v>169318</v>
      </c>
      <c r="G401" s="53">
        <f>F401*(B401-C401)/100</f>
        <v>473.75176399999998</v>
      </c>
      <c r="H401" s="53"/>
      <c r="I401" s="53">
        <f>F401*C401/100</f>
        <v>0</v>
      </c>
      <c r="J401" s="53"/>
      <c r="K401" s="53"/>
      <c r="L401" s="53">
        <f>G401+H401+I401-J401+K401</f>
        <v>473.75176399999998</v>
      </c>
      <c r="M401" s="53"/>
      <c r="N401" s="53">
        <f>L401-M401</f>
        <v>473.75176399999998</v>
      </c>
      <c r="O401" s="53"/>
      <c r="P401" s="53"/>
      <c r="Q401" s="53">
        <f>N401-O401-P401</f>
        <v>473.75176399999998</v>
      </c>
      <c r="T401" s="53"/>
    </row>
    <row r="402" spans="1:20">
      <c r="A402" s="47" t="s">
        <v>17</v>
      </c>
      <c r="B402" s="48">
        <f t="shared" ref="B402:C405" si="98">B$400</f>
        <v>0.27979999999999999</v>
      </c>
      <c r="C402" s="48">
        <f t="shared" si="98"/>
        <v>0</v>
      </c>
      <c r="E402" s="173"/>
      <c r="F402" s="417">
        <v>250984</v>
      </c>
      <c r="G402" s="53"/>
      <c r="H402" s="53">
        <f>F402*(B402-C402)/100</f>
        <v>702.25323200000003</v>
      </c>
      <c r="I402" s="53">
        <f>F402*C402/100</f>
        <v>0</v>
      </c>
      <c r="J402" s="53">
        <v>0</v>
      </c>
      <c r="K402" s="53">
        <v>0</v>
      </c>
      <c r="L402" s="53">
        <f>G402+H402+I402-J402+K402</f>
        <v>702.25323200000003</v>
      </c>
      <c r="M402" s="53">
        <v>0</v>
      </c>
      <c r="N402" s="53">
        <f>L402-M402</f>
        <v>702.25323200000003</v>
      </c>
      <c r="O402" s="53">
        <v>0</v>
      </c>
      <c r="P402" s="53">
        <v>0</v>
      </c>
      <c r="Q402" s="53">
        <f>N402-O402-P402</f>
        <v>702.25323200000003</v>
      </c>
      <c r="T402" s="53"/>
    </row>
    <row r="403" spans="1:20">
      <c r="A403" s="47" t="s">
        <v>18</v>
      </c>
      <c r="B403" s="48"/>
      <c r="C403" s="48"/>
      <c r="E403" s="173"/>
      <c r="F403" s="41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T403" s="53"/>
    </row>
    <row r="404" spans="1:20">
      <c r="A404" s="67" t="s">
        <v>19</v>
      </c>
      <c r="B404" s="48">
        <f t="shared" si="98"/>
        <v>0.27979999999999999</v>
      </c>
      <c r="C404" s="48">
        <f t="shared" si="98"/>
        <v>0</v>
      </c>
      <c r="E404" s="173"/>
      <c r="F404" s="413">
        <v>257660.2</v>
      </c>
      <c r="G404" s="53">
        <v>24.21</v>
      </c>
      <c r="H404" s="53">
        <v>696.79</v>
      </c>
      <c r="I404" s="53">
        <v>0</v>
      </c>
      <c r="J404" s="53">
        <v>26.54</v>
      </c>
      <c r="K404" s="53">
        <v>0</v>
      </c>
      <c r="L404" s="53">
        <f>G404+H404+I404-J404+K404</f>
        <v>694.46</v>
      </c>
      <c r="M404" s="53">
        <v>45.15</v>
      </c>
      <c r="N404" s="53">
        <f>L404-M404</f>
        <v>649.31000000000006</v>
      </c>
      <c r="O404" s="53">
        <v>0</v>
      </c>
      <c r="P404" s="53">
        <v>0</v>
      </c>
      <c r="Q404" s="53">
        <f>N404-O404-P404</f>
        <v>649.31000000000006</v>
      </c>
      <c r="T404" s="53"/>
    </row>
    <row r="405" spans="1:20">
      <c r="A405" s="67" t="s">
        <v>20</v>
      </c>
      <c r="B405" s="48">
        <f t="shared" si="98"/>
        <v>0.27979999999999999</v>
      </c>
      <c r="C405" s="48">
        <f t="shared" si="98"/>
        <v>0</v>
      </c>
      <c r="E405" s="173"/>
      <c r="F405" s="413">
        <v>55177.72</v>
      </c>
      <c r="G405" s="53">
        <v>154.38999999999999</v>
      </c>
      <c r="H405" s="53"/>
      <c r="I405" s="53">
        <v>0</v>
      </c>
      <c r="J405" s="53">
        <v>0</v>
      </c>
      <c r="K405" s="53">
        <v>0</v>
      </c>
      <c r="L405" s="53">
        <f>G405+H405+I405-J405+K405</f>
        <v>154.38999999999999</v>
      </c>
      <c r="M405" s="53">
        <v>0</v>
      </c>
      <c r="N405" s="53">
        <f>L405-M405</f>
        <v>154.38999999999999</v>
      </c>
      <c r="O405" s="53">
        <v>0</v>
      </c>
      <c r="P405" s="53">
        <v>0</v>
      </c>
      <c r="Q405" s="53">
        <f>N405-O405-P405</f>
        <v>154.38999999999999</v>
      </c>
      <c r="S405" s="53">
        <f>Q404+Q405</f>
        <v>803.7</v>
      </c>
      <c r="T405" s="53"/>
    </row>
    <row r="406" spans="1:20">
      <c r="A406" s="47"/>
      <c r="B406" s="48"/>
      <c r="C406" s="48"/>
      <c r="E406" s="173"/>
      <c r="F406" s="41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T406" s="53"/>
    </row>
    <row r="407" spans="1:20" s="50" customFormat="1" ht="13.5" thickBot="1">
      <c r="A407" s="160" t="str">
        <f>"TOTAL "&amp; A398</f>
        <v>TOTAL ZEPHYR HEIGHTS</v>
      </c>
      <c r="B407" s="68">
        <f>B400</f>
        <v>0.27979999999999999</v>
      </c>
      <c r="C407" s="68">
        <f>C400</f>
        <v>0</v>
      </c>
      <c r="D407" s="69">
        <f t="shared" ref="D407:Q407" si="99">SUM(D400:D402,D404:D405)</f>
        <v>228</v>
      </c>
      <c r="E407" s="204"/>
      <c r="F407" s="414">
        <f t="shared" si="99"/>
        <v>56403183.920000002</v>
      </c>
      <c r="G407" s="70">
        <f t="shared" si="99"/>
        <v>652.351764</v>
      </c>
      <c r="H407" s="70">
        <f t="shared" si="99"/>
        <v>157545.393232</v>
      </c>
      <c r="I407" s="70">
        <f t="shared" si="99"/>
        <v>0</v>
      </c>
      <c r="J407" s="70">
        <f t="shared" si="99"/>
        <v>408.31</v>
      </c>
      <c r="K407" s="70">
        <f t="shared" si="99"/>
        <v>53.98</v>
      </c>
      <c r="L407" s="70">
        <f t="shared" si="99"/>
        <v>157843.41499600001</v>
      </c>
      <c r="M407" s="70">
        <f t="shared" si="99"/>
        <v>23208.300000000003</v>
      </c>
      <c r="N407" s="70">
        <f t="shared" si="99"/>
        <v>134635.11499600002</v>
      </c>
      <c r="O407" s="70">
        <f t="shared" si="99"/>
        <v>0</v>
      </c>
      <c r="P407" s="70">
        <f t="shared" si="99"/>
        <v>0</v>
      </c>
      <c r="Q407" s="70">
        <f t="shared" si="99"/>
        <v>134635.11499600002</v>
      </c>
      <c r="T407" s="59"/>
    </row>
    <row r="408" spans="1:20">
      <c r="A408" s="150" t="s">
        <v>355</v>
      </c>
      <c r="B408" s="48"/>
      <c r="C408" s="48"/>
      <c r="E408" s="173"/>
      <c r="F408" s="428">
        <v>56393726</v>
      </c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T408" s="53"/>
    </row>
    <row r="409" spans="1:20">
      <c r="A409" s="151" t="s">
        <v>30</v>
      </c>
      <c r="B409" s="48"/>
      <c r="C409" s="48"/>
      <c r="E409" s="173"/>
      <c r="F409" s="429">
        <f>F407-F408</f>
        <v>9457.9200000017881</v>
      </c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T409" s="53"/>
    </row>
    <row r="410" spans="1:20">
      <c r="A410" s="54" t="s">
        <v>60</v>
      </c>
      <c r="B410" s="84"/>
      <c r="C410" s="84"/>
      <c r="D410" s="52"/>
      <c r="E410" s="210"/>
      <c r="F410" s="384"/>
      <c r="G410" s="6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T410" s="53"/>
    </row>
    <row r="411" spans="1:20">
      <c r="E411" s="65">
        <v>46985</v>
      </c>
      <c r="F411" s="41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T411" s="53"/>
    </row>
    <row r="412" spans="1:20">
      <c r="A412" s="49" t="s">
        <v>15</v>
      </c>
      <c r="B412" s="475">
        <v>0.54269999999999996</v>
      </c>
      <c r="C412" s="48">
        <v>0</v>
      </c>
      <c r="D412" s="129">
        <v>65</v>
      </c>
      <c r="E412" s="173">
        <f>G412/B412*100</f>
        <v>0</v>
      </c>
      <c r="F412" s="408">
        <v>12112696</v>
      </c>
      <c r="G412" s="53">
        <v>0</v>
      </c>
      <c r="H412" s="53">
        <v>65735.59</v>
      </c>
      <c r="I412" s="53">
        <v>0</v>
      </c>
      <c r="J412" s="53">
        <v>0</v>
      </c>
      <c r="K412" s="53">
        <v>0</v>
      </c>
      <c r="L412" s="53">
        <f>G412+H412+I412-J412+K412</f>
        <v>65735.59</v>
      </c>
      <c r="M412" s="53">
        <v>8660.18</v>
      </c>
      <c r="N412" s="53">
        <f>L412-M412</f>
        <v>57075.409999999996</v>
      </c>
      <c r="O412" s="53">
        <v>0</v>
      </c>
      <c r="P412" s="53">
        <v>0</v>
      </c>
      <c r="Q412" s="53">
        <f>N412-O412-P412</f>
        <v>57075.409999999996</v>
      </c>
      <c r="T412" s="53"/>
    </row>
    <row r="413" spans="1:20">
      <c r="A413" s="47" t="s">
        <v>16</v>
      </c>
      <c r="B413" s="475">
        <f>B$412</f>
        <v>0.54269999999999996</v>
      </c>
      <c r="C413" s="48">
        <f>C$412</f>
        <v>0</v>
      </c>
      <c r="E413" s="173"/>
      <c r="F413" s="416">
        <f>IF(E411&gt;E412,E411-E412,0)</f>
        <v>46985</v>
      </c>
      <c r="G413" s="53">
        <f>F413*(B413-C413)/100</f>
        <v>254.98759499999997</v>
      </c>
      <c r="H413" s="53"/>
      <c r="I413" s="53">
        <f>F413*C413/100</f>
        <v>0</v>
      </c>
      <c r="J413" s="53"/>
      <c r="K413" s="53"/>
      <c r="L413" s="53">
        <f>G413+H413+I413-J413+K413</f>
        <v>254.98759499999997</v>
      </c>
      <c r="M413" s="53"/>
      <c r="N413" s="53">
        <f>L413-M413</f>
        <v>254.98759499999997</v>
      </c>
      <c r="O413" s="53"/>
      <c r="P413" s="53"/>
      <c r="Q413" s="53">
        <f>N413-O413-P413</f>
        <v>254.98759499999997</v>
      </c>
      <c r="T413" s="53"/>
    </row>
    <row r="414" spans="1:20">
      <c r="A414" s="47" t="s">
        <v>17</v>
      </c>
      <c r="B414" s="475">
        <f t="shared" ref="B414:C417" si="100">B$412</f>
        <v>0.54269999999999996</v>
      </c>
      <c r="C414" s="48">
        <f t="shared" si="100"/>
        <v>0</v>
      </c>
      <c r="E414" s="173"/>
      <c r="F414" s="417">
        <v>83491</v>
      </c>
      <c r="G414" s="53"/>
      <c r="H414" s="53">
        <f>F414*(B414-C414)/100</f>
        <v>453.10565700000001</v>
      </c>
      <c r="I414" s="53">
        <f>F414*C414/100</f>
        <v>0</v>
      </c>
      <c r="J414" s="53"/>
      <c r="K414" s="53">
        <v>0</v>
      </c>
      <c r="L414" s="53">
        <f>G414+H414+I414-J414+K414</f>
        <v>453.10565700000001</v>
      </c>
      <c r="M414" s="53">
        <v>0</v>
      </c>
      <c r="N414" s="53">
        <f>L414-M414</f>
        <v>453.10565700000001</v>
      </c>
      <c r="O414" s="53">
        <v>0</v>
      </c>
      <c r="P414" s="53">
        <v>0</v>
      </c>
      <c r="Q414" s="53">
        <f>N414-O414-P414</f>
        <v>453.10565700000001</v>
      </c>
      <c r="T414" s="53"/>
    </row>
    <row r="415" spans="1:20">
      <c r="A415" s="47" t="s">
        <v>18</v>
      </c>
      <c r="B415" s="475"/>
      <c r="C415" s="48"/>
      <c r="E415" s="173"/>
      <c r="F415" s="41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T415" s="53"/>
    </row>
    <row r="416" spans="1:20">
      <c r="A416" s="67" t="s">
        <v>19</v>
      </c>
      <c r="B416" s="475">
        <f t="shared" si="100"/>
        <v>0.54269999999999996</v>
      </c>
      <c r="C416" s="48">
        <f t="shared" si="100"/>
        <v>0</v>
      </c>
      <c r="E416" s="173"/>
      <c r="F416" s="413">
        <v>68232.94</v>
      </c>
      <c r="G416" s="53">
        <v>13.36</v>
      </c>
      <c r="H416" s="53">
        <v>357.03</v>
      </c>
      <c r="I416" s="53">
        <f>F416*C416/100</f>
        <v>0</v>
      </c>
      <c r="J416" s="53">
        <v>15.24</v>
      </c>
      <c r="K416" s="53">
        <v>0</v>
      </c>
      <c r="L416" s="53">
        <f>G416+H416+I416-J416+K416</f>
        <v>355.15</v>
      </c>
      <c r="M416" s="53">
        <v>25.46</v>
      </c>
      <c r="N416" s="53">
        <f>L416-M416</f>
        <v>329.69</v>
      </c>
      <c r="O416" s="53">
        <v>0</v>
      </c>
      <c r="P416" s="53">
        <v>0</v>
      </c>
      <c r="Q416" s="53">
        <f>N416-O416-P416</f>
        <v>329.69</v>
      </c>
      <c r="T416" s="53"/>
    </row>
    <row r="417" spans="1:20">
      <c r="A417" s="67" t="s">
        <v>20</v>
      </c>
      <c r="B417" s="475">
        <f t="shared" si="100"/>
        <v>0.54269999999999996</v>
      </c>
      <c r="C417" s="48">
        <f t="shared" si="100"/>
        <v>0</v>
      </c>
      <c r="E417" s="173"/>
      <c r="F417" s="413">
        <v>16464.240000000002</v>
      </c>
      <c r="G417" s="53">
        <v>89.09</v>
      </c>
      <c r="H417" s="53">
        <v>0</v>
      </c>
      <c r="I417" s="53">
        <v>0</v>
      </c>
      <c r="J417" s="53">
        <v>0</v>
      </c>
      <c r="K417" s="53">
        <v>0</v>
      </c>
      <c r="L417" s="53">
        <f>G417+H417+I417-J417+K417</f>
        <v>89.09</v>
      </c>
      <c r="M417" s="53">
        <v>0</v>
      </c>
      <c r="N417" s="53">
        <f>L417-M417</f>
        <v>89.09</v>
      </c>
      <c r="O417" s="53">
        <v>0</v>
      </c>
      <c r="P417" s="53">
        <v>0</v>
      </c>
      <c r="Q417" s="53">
        <f>N417-O417-P417</f>
        <v>89.09</v>
      </c>
      <c r="S417" s="53">
        <f>Q416+Q417</f>
        <v>418.78</v>
      </c>
      <c r="T417" s="53"/>
    </row>
    <row r="418" spans="1:20">
      <c r="A418" s="47"/>
      <c r="B418" s="475"/>
      <c r="C418" s="48"/>
      <c r="E418" s="173"/>
      <c r="F418" s="41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T418" s="53"/>
    </row>
    <row r="419" spans="1:20" s="50" customFormat="1" ht="13.5" thickBot="1">
      <c r="A419" s="160" t="str">
        <f>"TOTAL "&amp; A410</f>
        <v>TOTAL ZEPHYR KNOLLS</v>
      </c>
      <c r="B419" s="477">
        <f>B412</f>
        <v>0.54269999999999996</v>
      </c>
      <c r="C419" s="68">
        <f>C412</f>
        <v>0</v>
      </c>
      <c r="D419" s="69">
        <f t="shared" ref="D419:Q419" si="101">SUM(D412:D414,D416:D417)</f>
        <v>65</v>
      </c>
      <c r="E419" s="204"/>
      <c r="F419" s="414">
        <f t="shared" si="101"/>
        <v>12327869.18</v>
      </c>
      <c r="G419" s="70">
        <f t="shared" si="101"/>
        <v>357.43759499999999</v>
      </c>
      <c r="H419" s="70">
        <f t="shared" si="101"/>
        <v>66545.725656999988</v>
      </c>
      <c r="I419" s="70">
        <f t="shared" si="101"/>
        <v>0</v>
      </c>
      <c r="J419" s="70">
        <f t="shared" si="101"/>
        <v>15.24</v>
      </c>
      <c r="K419" s="70">
        <f t="shared" si="101"/>
        <v>0</v>
      </c>
      <c r="L419" s="70">
        <f t="shared" si="101"/>
        <v>66887.923251999979</v>
      </c>
      <c r="M419" s="70">
        <f t="shared" si="101"/>
        <v>8685.64</v>
      </c>
      <c r="N419" s="70">
        <f t="shared" si="101"/>
        <v>58202.283251999994</v>
      </c>
      <c r="O419" s="70">
        <f t="shared" si="101"/>
        <v>0</v>
      </c>
      <c r="P419" s="70">
        <f t="shared" si="101"/>
        <v>0</v>
      </c>
      <c r="Q419" s="70">
        <f t="shared" si="101"/>
        <v>58202.283251999994</v>
      </c>
      <c r="T419" s="59"/>
    </row>
    <row r="420" spans="1:20">
      <c r="A420" s="150" t="s">
        <v>355</v>
      </c>
      <c r="B420" s="48"/>
      <c r="C420" s="48"/>
      <c r="E420" s="173"/>
      <c r="F420" s="428">
        <v>12325076</v>
      </c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T420" s="53"/>
    </row>
    <row r="421" spans="1:20">
      <c r="A421" s="151" t="s">
        <v>30</v>
      </c>
      <c r="B421" s="48"/>
      <c r="C421" s="48"/>
      <c r="E421" s="173"/>
      <c r="F421" s="429">
        <f>F419-F420</f>
        <v>2793.179999999702</v>
      </c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T421" s="53"/>
    </row>
    <row r="422" spans="1:20">
      <c r="F422" s="41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T422" s="53"/>
    </row>
    <row r="423" spans="1:20">
      <c r="A423" s="293" t="s">
        <v>77</v>
      </c>
      <c r="B423" s="294" t="s">
        <v>568</v>
      </c>
      <c r="C423" s="295"/>
      <c r="D423" s="105"/>
      <c r="E423" s="295"/>
      <c r="F423" s="432"/>
      <c r="G423" s="287"/>
      <c r="H423" s="287"/>
      <c r="I423" s="53"/>
      <c r="J423" s="53"/>
      <c r="K423" s="53"/>
      <c r="L423" s="53"/>
      <c r="M423" s="53"/>
      <c r="N423" s="53"/>
      <c r="O423" s="53"/>
      <c r="P423" s="53"/>
      <c r="Q423" s="53"/>
      <c r="T423" s="53"/>
    </row>
    <row r="424" spans="1:20">
      <c r="B424" s="48"/>
      <c r="C424" s="567"/>
      <c r="D424" s="551"/>
      <c r="E424" s="551"/>
      <c r="F424" s="412"/>
      <c r="G424" s="552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T424" s="53"/>
    </row>
    <row r="425" spans="1:20">
      <c r="A425" s="47"/>
      <c r="B425" s="48"/>
      <c r="C425" s="48"/>
      <c r="E425" s="173"/>
      <c r="F425" s="41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T425" s="53"/>
    </row>
    <row r="426" spans="1:20">
      <c r="A426" s="47"/>
      <c r="B426" s="48"/>
      <c r="C426" s="48"/>
      <c r="E426" s="173"/>
      <c r="F426" s="41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T426" s="53"/>
    </row>
    <row r="427" spans="1:20">
      <c r="A427" s="47"/>
      <c r="B427" s="48"/>
      <c r="C427" s="48"/>
      <c r="E427" s="173"/>
      <c r="F427" s="41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T427" s="53"/>
    </row>
    <row r="428" spans="1:20">
      <c r="A428" s="67"/>
      <c r="B428" s="48"/>
      <c r="C428" s="48"/>
      <c r="E428" s="173"/>
      <c r="F428" s="41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T428" s="53"/>
    </row>
    <row r="429" spans="1:20" ht="13.5" customHeight="1">
      <c r="A429" s="67"/>
      <c r="B429" s="48"/>
      <c r="C429" s="48"/>
      <c r="E429" s="173"/>
      <c r="F429" s="41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T429" s="53"/>
    </row>
    <row r="430" spans="1:20">
      <c r="A430" s="47"/>
      <c r="B430" s="48"/>
      <c r="C430" s="48"/>
      <c r="E430" s="173"/>
      <c r="F430" s="413"/>
      <c r="H430" s="82"/>
      <c r="I430" s="82"/>
      <c r="J430" s="82"/>
      <c r="K430" s="82"/>
      <c r="L430" s="82"/>
      <c r="M430" s="82"/>
      <c r="N430" s="82"/>
      <c r="O430" s="82"/>
      <c r="P430" s="82"/>
      <c r="Q430" s="84"/>
      <c r="T430" s="53"/>
    </row>
    <row r="431" spans="1:20" s="50" customFormat="1">
      <c r="A431" s="57"/>
      <c r="B431" s="51"/>
      <c r="C431" s="51"/>
      <c r="D431" s="52"/>
      <c r="E431" s="203"/>
      <c r="F431" s="384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T431" s="59"/>
    </row>
    <row r="432" spans="1:20">
      <c r="F432" s="413"/>
      <c r="H432" s="82"/>
      <c r="I432" s="82"/>
      <c r="J432" s="82"/>
      <c r="K432" s="82"/>
      <c r="L432" s="82"/>
      <c r="M432" s="82"/>
      <c r="N432" s="82"/>
      <c r="O432" s="82"/>
      <c r="P432" s="82"/>
      <c r="Q432" s="84"/>
      <c r="T432" s="53"/>
    </row>
    <row r="433" spans="1:20">
      <c r="A433" s="50"/>
      <c r="B433" s="50"/>
      <c r="C433" s="50"/>
      <c r="D433" s="52"/>
      <c r="E433" s="211"/>
      <c r="F433" s="273"/>
      <c r="G433" s="59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T433" s="53"/>
    </row>
    <row r="434" spans="1:20">
      <c r="A434" s="50"/>
      <c r="F434" s="41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T434" s="53"/>
    </row>
    <row r="435" spans="1:20">
      <c r="F435" s="41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T435" s="53"/>
    </row>
    <row r="436" spans="1:20">
      <c r="B436" s="48"/>
      <c r="C436" s="48"/>
      <c r="E436" s="173"/>
      <c r="F436" s="412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T436" s="53"/>
    </row>
    <row r="437" spans="1:20">
      <c r="A437" s="47"/>
      <c r="B437" s="48"/>
      <c r="C437" s="48"/>
      <c r="E437" s="173"/>
      <c r="F437" s="41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T437" s="53"/>
    </row>
    <row r="438" spans="1:20">
      <c r="A438" s="47"/>
      <c r="B438" s="48"/>
      <c r="C438" s="48"/>
      <c r="E438" s="173"/>
      <c r="F438" s="41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T438" s="53"/>
    </row>
    <row r="439" spans="1:20">
      <c r="A439" s="47"/>
      <c r="B439" s="48"/>
      <c r="C439" s="48"/>
      <c r="E439" s="173"/>
      <c r="F439" s="41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T439" s="53"/>
    </row>
    <row r="440" spans="1:20">
      <c r="A440" s="67"/>
      <c r="B440" s="48"/>
      <c r="C440" s="48"/>
      <c r="E440" s="173"/>
      <c r="F440" s="41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T440" s="53"/>
    </row>
    <row r="441" spans="1:20">
      <c r="A441" s="67"/>
      <c r="B441" s="48"/>
      <c r="C441" s="48"/>
      <c r="E441" s="173"/>
      <c r="F441" s="41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T441" s="53"/>
    </row>
    <row r="442" spans="1:20">
      <c r="A442" s="47"/>
      <c r="B442" s="48"/>
      <c r="C442" s="48"/>
      <c r="E442" s="173"/>
      <c r="F442" s="41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T442" s="53"/>
    </row>
    <row r="443" spans="1:20" s="50" customFormat="1">
      <c r="A443" s="57"/>
      <c r="B443" s="51"/>
      <c r="C443" s="51"/>
      <c r="D443" s="52"/>
      <c r="E443" s="203"/>
      <c r="F443" s="384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T443" s="59"/>
    </row>
    <row r="444" spans="1:20">
      <c r="A444" s="50"/>
      <c r="B444" s="50"/>
      <c r="C444" s="50"/>
      <c r="D444" s="52"/>
      <c r="E444" s="211"/>
      <c r="F444" s="273"/>
      <c r="G444" s="59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T444" s="53"/>
    </row>
    <row r="445" spans="1:20">
      <c r="F445" s="41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T445" s="53"/>
    </row>
    <row r="446" spans="1:20">
      <c r="A446" s="50"/>
      <c r="F446" s="41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T446" s="53"/>
    </row>
    <row r="447" spans="1:20">
      <c r="F447" s="41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T447" s="53"/>
    </row>
    <row r="448" spans="1:20">
      <c r="B448" s="48"/>
      <c r="C448" s="48"/>
      <c r="E448" s="173"/>
      <c r="F448" s="412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T448" s="53"/>
    </row>
    <row r="449" spans="1:20">
      <c r="A449" s="47"/>
      <c r="B449" s="48"/>
      <c r="C449" s="48"/>
      <c r="E449" s="173"/>
      <c r="F449" s="41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T449" s="53"/>
    </row>
    <row r="450" spans="1:20">
      <c r="A450" s="47"/>
      <c r="B450" s="48"/>
      <c r="C450" s="48"/>
      <c r="E450" s="173"/>
      <c r="F450" s="41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T450" s="53"/>
    </row>
    <row r="451" spans="1:20">
      <c r="A451" s="47"/>
      <c r="B451" s="48"/>
      <c r="C451" s="48"/>
      <c r="E451" s="173"/>
      <c r="F451" s="41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T451" s="53"/>
    </row>
    <row r="452" spans="1:20">
      <c r="A452" s="67"/>
      <c r="B452" s="48"/>
      <c r="C452" s="48"/>
      <c r="E452" s="173"/>
      <c r="F452" s="41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T452" s="53"/>
    </row>
    <row r="453" spans="1:20">
      <c r="A453" s="67"/>
      <c r="B453" s="48"/>
      <c r="C453" s="48"/>
      <c r="E453" s="173"/>
      <c r="F453" s="41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T453" s="53"/>
    </row>
    <row r="454" spans="1:20">
      <c r="A454" s="47"/>
      <c r="B454" s="48"/>
      <c r="C454" s="48"/>
      <c r="E454" s="173"/>
      <c r="F454" s="41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T454" s="53"/>
    </row>
    <row r="455" spans="1:20" s="50" customFormat="1">
      <c r="A455" s="57"/>
      <c r="B455" s="51"/>
      <c r="C455" s="51"/>
      <c r="D455" s="52"/>
      <c r="E455" s="203"/>
      <c r="F455" s="384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T455" s="59"/>
    </row>
    <row r="456" spans="1:20">
      <c r="F456" s="41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T456" s="53"/>
    </row>
    <row r="457" spans="1:20">
      <c r="A457" s="83"/>
      <c r="B457" s="84"/>
      <c r="C457" s="84"/>
      <c r="D457" s="52"/>
      <c r="E457" s="210"/>
      <c r="F457" s="384"/>
      <c r="G457" s="59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T457" s="53"/>
    </row>
    <row r="458" spans="1:20">
      <c r="A458" s="50"/>
      <c r="F458" s="41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T458" s="53"/>
    </row>
    <row r="459" spans="1:20">
      <c r="A459" s="50"/>
      <c r="B459" s="50"/>
      <c r="C459" s="50"/>
      <c r="D459" s="52"/>
      <c r="E459" s="211"/>
      <c r="F459" s="273"/>
      <c r="G459" s="59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T459" s="53"/>
    </row>
    <row r="460" spans="1:20">
      <c r="B460" s="48"/>
      <c r="C460" s="48"/>
      <c r="E460" s="173"/>
      <c r="F460" s="412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T460" s="53"/>
    </row>
    <row r="461" spans="1:20">
      <c r="A461" s="47"/>
      <c r="B461" s="48"/>
      <c r="C461" s="48"/>
      <c r="E461" s="173"/>
      <c r="F461" s="41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T461" s="53"/>
    </row>
    <row r="462" spans="1:20">
      <c r="A462" s="47"/>
      <c r="B462" s="48"/>
      <c r="C462" s="48"/>
      <c r="E462" s="173"/>
      <c r="F462" s="41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T462" s="53"/>
    </row>
    <row r="463" spans="1:20">
      <c r="A463" s="47"/>
      <c r="B463" s="48"/>
      <c r="C463" s="48"/>
      <c r="E463" s="173"/>
      <c r="F463" s="41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T463" s="53"/>
    </row>
    <row r="464" spans="1:20">
      <c r="A464" s="67"/>
      <c r="B464" s="48"/>
      <c r="C464" s="48"/>
      <c r="E464" s="173"/>
      <c r="F464" s="41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T464" s="53"/>
    </row>
    <row r="465" spans="1:20">
      <c r="A465" s="67"/>
      <c r="B465" s="48"/>
      <c r="C465" s="48"/>
      <c r="E465" s="173"/>
      <c r="F465" s="41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T465" s="53"/>
    </row>
    <row r="466" spans="1:20">
      <c r="A466" s="47"/>
      <c r="B466" s="48"/>
      <c r="C466" s="48"/>
      <c r="E466" s="173"/>
      <c r="F466" s="41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T466" s="53"/>
    </row>
    <row r="467" spans="1:20" s="50" customFormat="1">
      <c r="A467" s="57"/>
      <c r="B467" s="51"/>
      <c r="C467" s="51"/>
      <c r="D467" s="52"/>
      <c r="E467" s="203"/>
      <c r="F467" s="384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T467" s="59"/>
    </row>
    <row r="468" spans="1:20">
      <c r="F468" s="41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T468" s="53"/>
    </row>
    <row r="469" spans="1:20">
      <c r="F469" s="41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T469" s="53"/>
    </row>
    <row r="470" spans="1:20">
      <c r="A470" s="50"/>
      <c r="F470" s="41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T470" s="53"/>
    </row>
    <row r="471" spans="1:20">
      <c r="A471" s="83"/>
      <c r="B471" s="84"/>
      <c r="C471" s="84"/>
      <c r="D471" s="52"/>
      <c r="E471" s="210"/>
      <c r="F471" s="384"/>
      <c r="G471" s="59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T471" s="53"/>
    </row>
    <row r="472" spans="1:20">
      <c r="B472" s="48"/>
      <c r="C472" s="48"/>
      <c r="E472" s="173"/>
      <c r="F472" s="412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T472" s="53"/>
    </row>
    <row r="473" spans="1:20">
      <c r="A473" s="47"/>
      <c r="B473" s="48"/>
      <c r="C473" s="48"/>
      <c r="E473" s="173"/>
      <c r="F473" s="41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T473" s="53"/>
    </row>
    <row r="474" spans="1:20">
      <c r="A474" s="47"/>
      <c r="B474" s="48"/>
      <c r="C474" s="48"/>
      <c r="E474" s="173"/>
      <c r="F474" s="41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T474" s="53"/>
    </row>
    <row r="475" spans="1:20">
      <c r="A475" s="47"/>
      <c r="B475" s="48"/>
      <c r="C475" s="48"/>
      <c r="E475" s="173"/>
      <c r="F475" s="41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T475" s="53"/>
    </row>
    <row r="476" spans="1:20">
      <c r="A476" s="67"/>
      <c r="B476" s="48"/>
      <c r="C476" s="48"/>
      <c r="E476" s="173"/>
      <c r="F476" s="41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T476" s="53"/>
    </row>
    <row r="477" spans="1:20">
      <c r="A477" s="67"/>
      <c r="B477" s="48"/>
      <c r="C477" s="48"/>
      <c r="E477" s="173"/>
      <c r="F477" s="41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T477" s="53"/>
    </row>
    <row r="478" spans="1:20">
      <c r="A478" s="47"/>
      <c r="B478" s="48"/>
      <c r="C478" s="48"/>
      <c r="E478" s="173"/>
      <c r="F478" s="41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T478" s="53"/>
    </row>
    <row r="479" spans="1:20" s="50" customFormat="1">
      <c r="A479" s="57"/>
      <c r="B479" s="51"/>
      <c r="C479" s="51"/>
      <c r="D479" s="52"/>
      <c r="E479" s="203"/>
      <c r="F479" s="384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T479" s="59"/>
    </row>
    <row r="480" spans="1:20">
      <c r="F480" s="41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T480" s="53"/>
    </row>
    <row r="481" spans="1:20">
      <c r="F481" s="41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T481" s="53"/>
    </row>
    <row r="482" spans="1:20">
      <c r="A482" s="50"/>
      <c r="B482" s="50"/>
      <c r="C482" s="50"/>
      <c r="D482" s="52"/>
      <c r="E482" s="211"/>
      <c r="F482" s="273"/>
      <c r="G482" s="59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T482" s="53"/>
    </row>
    <row r="483" spans="1:20">
      <c r="A483" s="50"/>
      <c r="F483" s="41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T483" s="53"/>
    </row>
    <row r="484" spans="1:20">
      <c r="B484" s="48"/>
      <c r="C484" s="48"/>
      <c r="E484" s="173"/>
      <c r="F484" s="412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T484" s="53"/>
    </row>
    <row r="485" spans="1:20">
      <c r="A485" s="47"/>
      <c r="B485" s="48"/>
      <c r="C485" s="48"/>
      <c r="E485" s="173"/>
      <c r="F485" s="41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T485" s="53"/>
    </row>
    <row r="486" spans="1:20">
      <c r="A486" s="47"/>
      <c r="B486" s="48"/>
      <c r="C486" s="48"/>
      <c r="E486" s="173"/>
      <c r="F486" s="41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T486" s="53"/>
    </row>
    <row r="487" spans="1:20">
      <c r="A487" s="47"/>
      <c r="B487" s="48"/>
      <c r="C487" s="48"/>
      <c r="E487" s="173"/>
      <c r="F487" s="41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T487" s="53"/>
    </row>
    <row r="488" spans="1:20">
      <c r="A488" s="67"/>
      <c r="B488" s="48"/>
      <c r="C488" s="48"/>
      <c r="E488" s="173"/>
      <c r="F488" s="41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T488" s="53"/>
    </row>
    <row r="489" spans="1:20">
      <c r="A489" s="67"/>
      <c r="B489" s="48"/>
      <c r="C489" s="48"/>
      <c r="E489" s="173"/>
      <c r="F489" s="41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T489" s="53"/>
    </row>
    <row r="490" spans="1:20">
      <c r="A490" s="47"/>
      <c r="B490" s="48"/>
      <c r="C490" s="48"/>
      <c r="E490" s="173"/>
      <c r="F490" s="41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T490" s="53"/>
    </row>
    <row r="491" spans="1:20" s="50" customFormat="1">
      <c r="A491" s="57"/>
      <c r="B491" s="51"/>
      <c r="C491" s="51"/>
      <c r="D491" s="52"/>
      <c r="E491" s="203"/>
      <c r="F491" s="384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T491" s="59"/>
    </row>
    <row r="492" spans="1:20">
      <c r="A492" s="50"/>
      <c r="B492" s="50"/>
      <c r="C492" s="50"/>
      <c r="D492" s="52"/>
      <c r="E492" s="211"/>
      <c r="F492" s="273"/>
      <c r="G492" s="59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T492" s="53"/>
    </row>
    <row r="493" spans="1:20">
      <c r="F493" s="41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T493" s="53"/>
    </row>
    <row r="494" spans="1:20">
      <c r="A494" s="50"/>
      <c r="F494" s="41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T494" s="53"/>
    </row>
    <row r="495" spans="1:20">
      <c r="F495" s="41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T495" s="53"/>
    </row>
    <row r="496" spans="1:20">
      <c r="B496" s="48"/>
      <c r="C496" s="48"/>
      <c r="E496" s="173"/>
      <c r="F496" s="412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T496" s="53"/>
    </row>
    <row r="497" spans="1:20">
      <c r="A497" s="47"/>
      <c r="B497" s="48"/>
      <c r="C497" s="48"/>
      <c r="E497" s="173"/>
      <c r="F497" s="41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T497" s="53"/>
    </row>
    <row r="498" spans="1:20">
      <c r="A498" s="47"/>
      <c r="B498" s="48"/>
      <c r="C498" s="48"/>
      <c r="E498" s="173"/>
      <c r="F498" s="41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T498" s="53"/>
    </row>
    <row r="499" spans="1:20">
      <c r="A499" s="47"/>
      <c r="B499" s="48"/>
      <c r="C499" s="48"/>
      <c r="E499" s="173"/>
      <c r="F499" s="41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T499" s="53"/>
    </row>
    <row r="500" spans="1:20">
      <c r="A500" s="67"/>
      <c r="B500" s="48"/>
      <c r="C500" s="48"/>
      <c r="E500" s="173"/>
      <c r="F500" s="41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T500" s="53"/>
    </row>
    <row r="501" spans="1:20">
      <c r="A501" s="67"/>
      <c r="B501" s="48"/>
      <c r="C501" s="48"/>
      <c r="E501" s="173"/>
      <c r="F501" s="41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T501" s="53"/>
    </row>
    <row r="502" spans="1:20">
      <c r="A502" s="47"/>
      <c r="B502" s="48"/>
      <c r="C502" s="48"/>
      <c r="E502" s="173"/>
      <c r="F502" s="41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T502" s="53"/>
    </row>
    <row r="503" spans="1:20" s="50" customFormat="1">
      <c r="A503" s="57"/>
      <c r="B503" s="51"/>
      <c r="C503" s="51"/>
      <c r="D503" s="52"/>
      <c r="E503" s="203"/>
      <c r="F503" s="384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T503" s="59"/>
    </row>
    <row r="504" spans="1:20">
      <c r="A504" s="83"/>
      <c r="B504" s="84"/>
      <c r="C504" s="84"/>
      <c r="D504" s="52"/>
      <c r="E504" s="210"/>
      <c r="F504" s="384"/>
      <c r="G504" s="59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T504" s="53"/>
    </row>
    <row r="505" spans="1:20">
      <c r="F505" s="41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T505" s="53"/>
    </row>
    <row r="506" spans="1:20">
      <c r="A506" s="50"/>
      <c r="B506" s="50"/>
      <c r="C506" s="50"/>
      <c r="D506" s="52"/>
      <c r="E506" s="211"/>
      <c r="F506" s="273"/>
      <c r="G506" s="59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T506" s="53"/>
    </row>
    <row r="507" spans="1:20">
      <c r="F507" s="41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T507" s="53"/>
    </row>
    <row r="508" spans="1:20">
      <c r="B508" s="48"/>
      <c r="C508" s="48"/>
      <c r="E508" s="173"/>
      <c r="F508" s="412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T508" s="53"/>
    </row>
    <row r="509" spans="1:20">
      <c r="A509" s="47"/>
      <c r="B509" s="48"/>
      <c r="C509" s="48"/>
      <c r="E509" s="173"/>
      <c r="F509" s="41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T509" s="53"/>
    </row>
    <row r="510" spans="1:20">
      <c r="A510" s="47"/>
      <c r="B510" s="48"/>
      <c r="C510" s="48"/>
      <c r="E510" s="173"/>
      <c r="F510" s="41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T510" s="53"/>
    </row>
    <row r="511" spans="1:20">
      <c r="A511" s="47"/>
      <c r="B511" s="48"/>
      <c r="C511" s="48"/>
      <c r="E511" s="173"/>
      <c r="F511" s="41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T511" s="53"/>
    </row>
    <row r="512" spans="1:20">
      <c r="A512" s="67"/>
      <c r="B512" s="48"/>
      <c r="C512" s="48"/>
      <c r="E512" s="173"/>
      <c r="F512" s="41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T512" s="53"/>
    </row>
    <row r="513" spans="1:20">
      <c r="A513" s="67"/>
      <c r="B513" s="48"/>
      <c r="C513" s="48"/>
      <c r="E513" s="173"/>
      <c r="F513" s="41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T513" s="53"/>
    </row>
    <row r="514" spans="1:20">
      <c r="A514" s="47"/>
      <c r="B514" s="48"/>
      <c r="C514" s="48"/>
      <c r="E514" s="173"/>
      <c r="F514" s="41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T514" s="53"/>
    </row>
    <row r="515" spans="1:20" s="50" customFormat="1">
      <c r="B515" s="51"/>
      <c r="C515" s="51"/>
      <c r="D515" s="52"/>
      <c r="E515" s="203"/>
      <c r="F515" s="384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T515" s="59"/>
    </row>
    <row r="516" spans="1:20">
      <c r="F516" s="41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T516" s="53"/>
    </row>
    <row r="517" spans="1:20">
      <c r="F517" s="41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T517" s="53"/>
    </row>
    <row r="518" spans="1:20">
      <c r="A518" s="50"/>
      <c r="F518" s="41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T518" s="53"/>
    </row>
    <row r="519" spans="1:20">
      <c r="A519" s="83"/>
      <c r="B519" s="85"/>
      <c r="C519" s="85"/>
      <c r="D519" s="177"/>
      <c r="E519" s="212"/>
      <c r="F519" s="384"/>
      <c r="G519" s="86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T519" s="53"/>
    </row>
    <row r="520" spans="1:20">
      <c r="B520" s="48"/>
      <c r="C520" s="48"/>
      <c r="E520" s="173"/>
      <c r="F520" s="412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T520" s="53"/>
    </row>
    <row r="521" spans="1:20">
      <c r="A521" s="47"/>
      <c r="B521" s="48"/>
      <c r="C521" s="48"/>
      <c r="E521" s="173"/>
      <c r="F521" s="41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T521" s="53"/>
    </row>
    <row r="522" spans="1:20">
      <c r="A522" s="47"/>
      <c r="B522" s="48"/>
      <c r="C522" s="48"/>
      <c r="E522" s="173"/>
      <c r="F522" s="41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T522" s="53"/>
    </row>
    <row r="523" spans="1:20">
      <c r="A523" s="47"/>
      <c r="B523" s="48"/>
      <c r="C523" s="48"/>
      <c r="E523" s="173"/>
      <c r="F523" s="41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T523" s="53"/>
    </row>
    <row r="524" spans="1:20">
      <c r="A524" s="67"/>
      <c r="B524" s="48"/>
      <c r="C524" s="48"/>
      <c r="E524" s="173"/>
      <c r="F524" s="41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T524" s="53"/>
    </row>
    <row r="525" spans="1:20">
      <c r="A525" s="67"/>
      <c r="B525" s="48"/>
      <c r="C525" s="48"/>
      <c r="E525" s="173"/>
      <c r="F525" s="41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T525" s="53"/>
    </row>
    <row r="526" spans="1:20">
      <c r="A526" s="47"/>
      <c r="B526" s="48"/>
      <c r="C526" s="48"/>
      <c r="E526" s="173"/>
      <c r="F526" s="41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T526" s="53"/>
    </row>
    <row r="527" spans="1:20" s="50" customFormat="1">
      <c r="B527" s="51"/>
      <c r="C527" s="51"/>
      <c r="D527" s="52"/>
      <c r="E527" s="203"/>
      <c r="F527" s="384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T527" s="59"/>
    </row>
    <row r="528" spans="1:20">
      <c r="F528" s="41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T528" s="53"/>
    </row>
    <row r="529" spans="1:20">
      <c r="F529" s="41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T529" s="53"/>
    </row>
    <row r="530" spans="1:20">
      <c r="A530" s="50"/>
      <c r="B530" s="84"/>
      <c r="C530" s="84"/>
      <c r="D530" s="52"/>
      <c r="E530" s="210"/>
      <c r="F530" s="384"/>
      <c r="G530" s="59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T530" s="53"/>
    </row>
    <row r="531" spans="1:20">
      <c r="F531" s="41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T531" s="53"/>
    </row>
    <row r="532" spans="1:20">
      <c r="B532" s="48"/>
      <c r="C532" s="48"/>
      <c r="E532" s="173"/>
      <c r="F532" s="412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T532" s="53"/>
    </row>
    <row r="533" spans="1:20">
      <c r="A533" s="47"/>
      <c r="B533" s="48"/>
      <c r="C533" s="48"/>
      <c r="E533" s="173"/>
      <c r="F533" s="41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T533" s="53"/>
    </row>
    <row r="534" spans="1:20">
      <c r="A534" s="47"/>
      <c r="B534" s="48"/>
      <c r="C534" s="48"/>
      <c r="E534" s="173"/>
      <c r="F534" s="41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T534" s="53"/>
    </row>
    <row r="535" spans="1:20">
      <c r="A535" s="47"/>
      <c r="B535" s="48"/>
      <c r="C535" s="48"/>
      <c r="E535" s="173"/>
      <c r="F535" s="41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T535" s="53"/>
    </row>
    <row r="536" spans="1:20">
      <c r="A536" s="67"/>
      <c r="B536" s="48"/>
      <c r="C536" s="48"/>
      <c r="E536" s="173"/>
      <c r="F536" s="41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T536" s="53"/>
    </row>
    <row r="537" spans="1:20">
      <c r="A537" s="67"/>
      <c r="B537" s="48"/>
      <c r="C537" s="48"/>
      <c r="E537" s="173"/>
      <c r="F537" s="41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T537" s="53"/>
    </row>
    <row r="538" spans="1:20">
      <c r="A538" s="47"/>
      <c r="B538" s="48"/>
      <c r="C538" s="48"/>
      <c r="E538" s="173"/>
      <c r="F538" s="41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T538" s="53"/>
    </row>
    <row r="539" spans="1:20" s="50" customFormat="1">
      <c r="B539" s="51"/>
      <c r="C539" s="51"/>
      <c r="D539" s="52"/>
      <c r="E539" s="203"/>
      <c r="F539" s="384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T539" s="59"/>
    </row>
    <row r="540" spans="1:20">
      <c r="F540" s="41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T540" s="53"/>
    </row>
    <row r="541" spans="1:20">
      <c r="F541" s="41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T541" s="53"/>
    </row>
    <row r="542" spans="1:20">
      <c r="A542" s="50"/>
      <c r="F542" s="41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T542" s="53"/>
    </row>
    <row r="543" spans="1:20">
      <c r="F543" s="41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T543" s="53"/>
    </row>
    <row r="544" spans="1:20">
      <c r="B544" s="48"/>
      <c r="C544" s="48"/>
      <c r="E544" s="173"/>
      <c r="F544" s="412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T544" s="53"/>
    </row>
    <row r="545" spans="1:20">
      <c r="A545" s="47"/>
      <c r="B545" s="48"/>
      <c r="C545" s="48"/>
      <c r="E545" s="173"/>
      <c r="F545" s="41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T545" s="53"/>
    </row>
    <row r="546" spans="1:20">
      <c r="A546" s="47"/>
      <c r="B546" s="48"/>
      <c r="C546" s="48"/>
      <c r="E546" s="173"/>
      <c r="F546" s="41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T546" s="53"/>
    </row>
    <row r="547" spans="1:20">
      <c r="A547" s="47"/>
      <c r="B547" s="48"/>
      <c r="C547" s="48"/>
      <c r="E547" s="173"/>
      <c r="F547" s="41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T547" s="53"/>
    </row>
    <row r="548" spans="1:20">
      <c r="A548" s="67"/>
      <c r="B548" s="48"/>
      <c r="C548" s="48"/>
      <c r="E548" s="173"/>
      <c r="F548" s="41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T548" s="53"/>
    </row>
    <row r="549" spans="1:20">
      <c r="A549" s="67"/>
      <c r="B549" s="48"/>
      <c r="C549" s="48"/>
      <c r="E549" s="173"/>
      <c r="F549" s="41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T549" s="53"/>
    </row>
    <row r="550" spans="1:20">
      <c r="A550" s="47"/>
      <c r="B550" s="48"/>
      <c r="C550" s="48"/>
      <c r="E550" s="173"/>
      <c r="F550" s="41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T550" s="53"/>
    </row>
    <row r="551" spans="1:20" s="50" customFormat="1">
      <c r="B551" s="51"/>
      <c r="C551" s="51"/>
      <c r="D551" s="52"/>
      <c r="E551" s="203"/>
      <c r="F551" s="384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T551" s="59"/>
    </row>
    <row r="552" spans="1:20">
      <c r="F552" s="41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T552" s="53"/>
    </row>
    <row r="553" spans="1:20">
      <c r="A553" s="50"/>
      <c r="B553" s="50"/>
      <c r="C553" s="50"/>
      <c r="D553" s="52"/>
      <c r="E553" s="211"/>
      <c r="F553" s="273"/>
      <c r="G553" s="59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T553" s="53"/>
    </row>
    <row r="554" spans="1:20">
      <c r="A554" s="50"/>
      <c r="F554" s="41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T554" s="53"/>
    </row>
    <row r="555" spans="1:20">
      <c r="F555" s="41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T555" s="53"/>
    </row>
    <row r="556" spans="1:20">
      <c r="B556" s="48"/>
      <c r="C556" s="48"/>
      <c r="E556" s="173"/>
      <c r="F556" s="412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T556" s="53"/>
    </row>
    <row r="557" spans="1:20">
      <c r="A557" s="47"/>
      <c r="B557" s="48"/>
      <c r="C557" s="48"/>
      <c r="E557" s="173"/>
      <c r="F557" s="41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T557" s="53"/>
    </row>
    <row r="558" spans="1:20">
      <c r="A558" s="47"/>
      <c r="B558" s="48"/>
      <c r="C558" s="48"/>
      <c r="E558" s="173"/>
      <c r="F558" s="41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T558" s="53"/>
    </row>
    <row r="559" spans="1:20">
      <c r="A559" s="47"/>
      <c r="B559" s="48"/>
      <c r="C559" s="48"/>
      <c r="E559" s="173"/>
      <c r="F559" s="41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T559" s="53"/>
    </row>
    <row r="560" spans="1:20">
      <c r="A560" s="67"/>
      <c r="B560" s="48"/>
      <c r="C560" s="48"/>
      <c r="E560" s="173"/>
      <c r="F560" s="41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T560" s="53"/>
    </row>
    <row r="561" spans="1:20">
      <c r="A561" s="67"/>
      <c r="B561" s="48"/>
      <c r="C561" s="48"/>
      <c r="E561" s="173"/>
      <c r="F561" s="41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T561" s="53"/>
    </row>
    <row r="562" spans="1:20">
      <c r="A562" s="47"/>
      <c r="B562" s="48"/>
      <c r="C562" s="48"/>
      <c r="E562" s="173"/>
      <c r="F562" s="41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T562" s="53"/>
    </row>
    <row r="563" spans="1:20" s="50" customFormat="1">
      <c r="B563" s="51"/>
      <c r="C563" s="51"/>
      <c r="D563" s="52"/>
      <c r="E563" s="203"/>
      <c r="F563" s="384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T563" s="59"/>
    </row>
    <row r="564" spans="1:20">
      <c r="A564" s="50"/>
      <c r="B564" s="50"/>
      <c r="C564" s="50"/>
      <c r="D564" s="52"/>
      <c r="E564" s="211"/>
      <c r="F564" s="273"/>
      <c r="G564" s="59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T564" s="53"/>
    </row>
    <row r="565" spans="1:20">
      <c r="F565" s="41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T565" s="53"/>
    </row>
    <row r="566" spans="1:20">
      <c r="A566" s="50"/>
      <c r="F566" s="41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T566" s="53"/>
    </row>
    <row r="567" spans="1:20">
      <c r="F567" s="41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T567" s="53"/>
    </row>
    <row r="568" spans="1:20">
      <c r="B568" s="48"/>
      <c r="C568" s="48"/>
      <c r="E568" s="173"/>
      <c r="F568" s="412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T568" s="53"/>
    </row>
    <row r="569" spans="1:20">
      <c r="A569" s="47"/>
      <c r="B569" s="48"/>
      <c r="C569" s="48"/>
      <c r="E569" s="173"/>
      <c r="F569" s="41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T569" s="53"/>
    </row>
    <row r="570" spans="1:20">
      <c r="A570" s="47"/>
      <c r="B570" s="48"/>
      <c r="C570" s="48"/>
      <c r="E570" s="173"/>
      <c r="F570" s="41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T570" s="53"/>
    </row>
    <row r="571" spans="1:20">
      <c r="A571" s="47"/>
      <c r="B571" s="48"/>
      <c r="C571" s="48"/>
      <c r="E571" s="173"/>
      <c r="F571" s="41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T571" s="53"/>
    </row>
    <row r="572" spans="1:20">
      <c r="A572" s="67"/>
      <c r="B572" s="48"/>
      <c r="C572" s="48"/>
      <c r="E572" s="173"/>
      <c r="F572" s="41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T572" s="53"/>
    </row>
    <row r="573" spans="1:20">
      <c r="A573" s="67"/>
      <c r="B573" s="48"/>
      <c r="C573" s="48"/>
      <c r="E573" s="173"/>
      <c r="F573" s="41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T573" s="53"/>
    </row>
    <row r="574" spans="1:20">
      <c r="A574" s="47"/>
      <c r="B574" s="48"/>
      <c r="C574" s="48"/>
      <c r="E574" s="173"/>
      <c r="F574" s="41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T574" s="53"/>
    </row>
    <row r="575" spans="1:20" s="50" customFormat="1">
      <c r="B575" s="51"/>
      <c r="C575" s="51"/>
      <c r="D575" s="52"/>
      <c r="E575" s="203"/>
      <c r="F575" s="384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T575" s="59"/>
    </row>
    <row r="576" spans="1:20">
      <c r="F576" s="41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T576" s="53"/>
    </row>
    <row r="577" spans="1:20">
      <c r="A577" s="83"/>
      <c r="B577" s="84"/>
      <c r="C577" s="84"/>
      <c r="D577" s="52"/>
      <c r="E577" s="210"/>
      <c r="F577" s="384"/>
      <c r="G577" s="59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T577" s="53"/>
    </row>
    <row r="578" spans="1:20">
      <c r="A578" s="50"/>
      <c r="F578" s="41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T578" s="53"/>
    </row>
    <row r="579" spans="1:20">
      <c r="A579" s="50"/>
      <c r="B579" s="50"/>
      <c r="C579" s="50"/>
      <c r="D579" s="52"/>
      <c r="E579" s="211"/>
      <c r="F579" s="273"/>
      <c r="G579" s="59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T579" s="53"/>
    </row>
    <row r="580" spans="1:20">
      <c r="B580" s="48"/>
      <c r="C580" s="48"/>
      <c r="E580" s="173"/>
      <c r="F580" s="412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T580" s="53"/>
    </row>
    <row r="581" spans="1:20">
      <c r="A581" s="47"/>
      <c r="B581" s="48"/>
      <c r="C581" s="48"/>
      <c r="E581" s="173"/>
      <c r="F581" s="41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T581" s="53"/>
    </row>
    <row r="582" spans="1:20">
      <c r="A582" s="47"/>
      <c r="B582" s="48"/>
      <c r="C582" s="48"/>
      <c r="E582" s="173"/>
      <c r="F582" s="41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T582" s="53"/>
    </row>
    <row r="583" spans="1:20">
      <c r="A583" s="47"/>
      <c r="B583" s="48"/>
      <c r="C583" s="48"/>
      <c r="E583" s="173"/>
      <c r="F583" s="41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T583" s="53"/>
    </row>
    <row r="584" spans="1:20">
      <c r="A584" s="67"/>
      <c r="B584" s="48"/>
      <c r="C584" s="48"/>
      <c r="E584" s="173"/>
      <c r="F584" s="41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T584" s="53"/>
    </row>
    <row r="585" spans="1:20">
      <c r="A585" s="67"/>
      <c r="B585" s="48"/>
      <c r="C585" s="48"/>
      <c r="E585" s="173"/>
      <c r="F585" s="41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T585" s="53"/>
    </row>
    <row r="586" spans="1:20">
      <c r="A586" s="47"/>
      <c r="B586" s="48"/>
      <c r="C586" s="48"/>
      <c r="E586" s="173"/>
      <c r="F586" s="41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T586" s="53"/>
    </row>
    <row r="587" spans="1:20" s="50" customFormat="1">
      <c r="B587" s="51"/>
      <c r="C587" s="51"/>
      <c r="D587" s="52"/>
      <c r="E587" s="203"/>
      <c r="F587" s="384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T587" s="59"/>
    </row>
    <row r="588" spans="1:20">
      <c r="F588" s="41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T588" s="53"/>
    </row>
    <row r="589" spans="1:20">
      <c r="F589" s="41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T589" s="53"/>
    </row>
    <row r="590" spans="1:20">
      <c r="A590" s="50"/>
      <c r="F590" s="41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T590" s="53"/>
    </row>
    <row r="591" spans="1:20">
      <c r="A591" s="83"/>
      <c r="B591" s="84"/>
      <c r="C591" s="84"/>
      <c r="D591" s="52"/>
      <c r="E591" s="210"/>
      <c r="F591" s="384"/>
      <c r="G591" s="59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T591" s="53"/>
    </row>
    <row r="592" spans="1:20">
      <c r="B592" s="48"/>
      <c r="C592" s="48"/>
      <c r="E592" s="173"/>
      <c r="F592" s="412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T592" s="53"/>
    </row>
    <row r="593" spans="1:20">
      <c r="A593" s="47"/>
      <c r="B593" s="48"/>
      <c r="C593" s="48"/>
      <c r="E593" s="173"/>
      <c r="F593" s="41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T593" s="53"/>
    </row>
    <row r="594" spans="1:20">
      <c r="A594" s="47"/>
      <c r="B594" s="48"/>
      <c r="C594" s="48"/>
      <c r="E594" s="173"/>
      <c r="F594" s="41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T594" s="53"/>
    </row>
    <row r="595" spans="1:20">
      <c r="A595" s="47"/>
      <c r="B595" s="48"/>
      <c r="C595" s="48"/>
      <c r="E595" s="173"/>
      <c r="F595" s="41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T595" s="53"/>
    </row>
    <row r="596" spans="1:20">
      <c r="A596" s="67"/>
      <c r="B596" s="48"/>
      <c r="C596" s="48"/>
      <c r="E596" s="173"/>
      <c r="F596" s="41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T596" s="53"/>
    </row>
    <row r="597" spans="1:20">
      <c r="A597" s="67"/>
      <c r="B597" s="48"/>
      <c r="C597" s="48"/>
      <c r="E597" s="173"/>
      <c r="F597" s="41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T597" s="53"/>
    </row>
    <row r="598" spans="1:20">
      <c r="A598" s="47"/>
      <c r="B598" s="48"/>
      <c r="C598" s="48"/>
      <c r="E598" s="173"/>
      <c r="F598" s="41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T598" s="53"/>
    </row>
    <row r="599" spans="1:20" s="50" customFormat="1">
      <c r="B599" s="51"/>
      <c r="C599" s="51"/>
      <c r="D599" s="52"/>
      <c r="E599" s="203"/>
      <c r="F599" s="384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T599" s="59"/>
    </row>
    <row r="600" spans="1:20">
      <c r="F600" s="41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T600" s="53"/>
    </row>
    <row r="601" spans="1:20">
      <c r="F601" s="41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T601" s="53"/>
    </row>
    <row r="602" spans="1:20">
      <c r="A602" s="50"/>
      <c r="B602" s="50"/>
      <c r="C602" s="50"/>
      <c r="D602" s="52"/>
      <c r="E602" s="211"/>
      <c r="F602" s="273"/>
      <c r="G602" s="59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T602" s="53"/>
    </row>
    <row r="603" spans="1:20">
      <c r="A603" s="50"/>
      <c r="F603" s="41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T603" s="53"/>
    </row>
    <row r="604" spans="1:20">
      <c r="B604" s="48"/>
      <c r="C604" s="48"/>
      <c r="E604" s="173"/>
      <c r="F604" s="412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T604" s="53"/>
    </row>
    <row r="605" spans="1:20">
      <c r="A605" s="47"/>
      <c r="B605" s="48"/>
      <c r="C605" s="48"/>
      <c r="E605" s="173"/>
      <c r="F605" s="41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T605" s="53"/>
    </row>
    <row r="606" spans="1:20">
      <c r="A606" s="47"/>
      <c r="B606" s="48"/>
      <c r="C606" s="48"/>
      <c r="E606" s="173"/>
      <c r="F606" s="41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T606" s="53"/>
    </row>
    <row r="607" spans="1:20">
      <c r="A607" s="47"/>
      <c r="B607" s="48"/>
      <c r="C607" s="48"/>
      <c r="E607" s="173"/>
      <c r="F607" s="41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T607" s="53"/>
    </row>
    <row r="608" spans="1:20">
      <c r="A608" s="67"/>
      <c r="B608" s="48"/>
      <c r="C608" s="48"/>
      <c r="E608" s="173"/>
      <c r="F608" s="41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T608" s="53"/>
    </row>
    <row r="609" spans="1:20">
      <c r="A609" s="67"/>
      <c r="B609" s="48"/>
      <c r="C609" s="48"/>
      <c r="E609" s="173"/>
      <c r="F609" s="41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T609" s="53"/>
    </row>
    <row r="610" spans="1:20">
      <c r="A610" s="47"/>
      <c r="B610" s="48"/>
      <c r="C610" s="48"/>
      <c r="E610" s="173"/>
      <c r="F610" s="41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T610" s="53"/>
    </row>
    <row r="611" spans="1:20" s="50" customFormat="1">
      <c r="B611" s="51"/>
      <c r="C611" s="51"/>
      <c r="D611" s="52"/>
      <c r="E611" s="203"/>
      <c r="F611" s="384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T611" s="59"/>
    </row>
    <row r="612" spans="1:20">
      <c r="A612" s="50"/>
      <c r="B612" s="50"/>
      <c r="C612" s="50"/>
      <c r="D612" s="52"/>
      <c r="E612" s="211"/>
      <c r="F612" s="273"/>
      <c r="G612" s="59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T612" s="53"/>
    </row>
    <row r="613" spans="1:20">
      <c r="F613" s="41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T613" s="53"/>
    </row>
    <row r="614" spans="1:20">
      <c r="A614" s="50"/>
      <c r="F614" s="41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T614" s="53"/>
    </row>
    <row r="615" spans="1:20">
      <c r="F615" s="41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T615" s="53"/>
    </row>
    <row r="616" spans="1:20">
      <c r="B616" s="48"/>
      <c r="C616" s="48"/>
      <c r="E616" s="173"/>
      <c r="F616" s="412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T616" s="53"/>
    </row>
    <row r="617" spans="1:20">
      <c r="A617" s="47"/>
      <c r="B617" s="48"/>
      <c r="C617" s="48"/>
      <c r="E617" s="173"/>
      <c r="F617" s="41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T617" s="53"/>
    </row>
    <row r="618" spans="1:20">
      <c r="A618" s="47"/>
      <c r="B618" s="48"/>
      <c r="C618" s="48"/>
      <c r="E618" s="173"/>
      <c r="F618" s="41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T618" s="53"/>
    </row>
    <row r="619" spans="1:20">
      <c r="A619" s="47"/>
      <c r="B619" s="48"/>
      <c r="C619" s="48"/>
      <c r="E619" s="173"/>
      <c r="F619" s="41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T619" s="53"/>
    </row>
    <row r="620" spans="1:20">
      <c r="A620" s="67"/>
      <c r="B620" s="48"/>
      <c r="C620" s="48"/>
      <c r="E620" s="173"/>
      <c r="F620" s="41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T620" s="53"/>
    </row>
    <row r="621" spans="1:20">
      <c r="A621" s="67"/>
      <c r="B621" s="48"/>
      <c r="C621" s="48"/>
      <c r="E621" s="173"/>
      <c r="F621" s="41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T621" s="53"/>
    </row>
    <row r="622" spans="1:20">
      <c r="A622" s="47"/>
      <c r="B622" s="48"/>
      <c r="C622" s="48"/>
      <c r="E622" s="173"/>
      <c r="F622" s="41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T622" s="53"/>
    </row>
    <row r="623" spans="1:20" s="50" customFormat="1">
      <c r="B623" s="51"/>
      <c r="C623" s="51"/>
      <c r="D623" s="52"/>
      <c r="E623" s="203"/>
      <c r="F623" s="384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T623" s="59"/>
    </row>
    <row r="624" spans="1:20">
      <c r="A624" s="83"/>
      <c r="B624" s="84"/>
      <c r="C624" s="84"/>
      <c r="D624" s="52"/>
      <c r="E624" s="210"/>
      <c r="F624" s="384"/>
      <c r="G624" s="59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T624" s="53"/>
    </row>
    <row r="625" spans="1:20">
      <c r="F625" s="41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T625" s="53"/>
    </row>
    <row r="626" spans="1:20">
      <c r="A626" s="50"/>
      <c r="B626" s="50"/>
      <c r="C626" s="50"/>
      <c r="D626" s="52"/>
      <c r="E626" s="211"/>
      <c r="F626" s="273"/>
      <c r="G626" s="59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T626" s="53"/>
    </row>
    <row r="627" spans="1:20">
      <c r="F627" s="41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T627" s="53"/>
    </row>
    <row r="628" spans="1:20">
      <c r="B628" s="48"/>
      <c r="C628" s="48"/>
      <c r="E628" s="173"/>
      <c r="F628" s="412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T628" s="53"/>
    </row>
    <row r="629" spans="1:20">
      <c r="A629" s="47"/>
      <c r="B629" s="48"/>
      <c r="C629" s="48"/>
      <c r="E629" s="173"/>
      <c r="F629" s="41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T629" s="53"/>
    </row>
    <row r="630" spans="1:20">
      <c r="A630" s="47"/>
      <c r="B630" s="48"/>
      <c r="C630" s="48"/>
      <c r="E630" s="173"/>
      <c r="F630" s="41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T630" s="53"/>
    </row>
    <row r="631" spans="1:20">
      <c r="A631" s="47"/>
      <c r="B631" s="48"/>
      <c r="C631" s="48"/>
      <c r="E631" s="173"/>
      <c r="F631" s="41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T631" s="53"/>
    </row>
    <row r="632" spans="1:20">
      <c r="A632" s="67"/>
      <c r="B632" s="48"/>
      <c r="C632" s="48"/>
      <c r="E632" s="173"/>
      <c r="F632" s="41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T632" s="53"/>
    </row>
    <row r="633" spans="1:20">
      <c r="A633" s="67"/>
      <c r="B633" s="48"/>
      <c r="C633" s="48"/>
      <c r="E633" s="173"/>
      <c r="F633" s="41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T633" s="53"/>
    </row>
    <row r="634" spans="1:20">
      <c r="A634" s="47"/>
      <c r="B634" s="48"/>
      <c r="C634" s="48"/>
      <c r="E634" s="173"/>
      <c r="F634" s="41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T634" s="53"/>
    </row>
    <row r="635" spans="1:20" s="50" customFormat="1">
      <c r="B635" s="51"/>
      <c r="C635" s="51"/>
      <c r="D635" s="52"/>
      <c r="E635" s="203"/>
      <c r="F635" s="384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T635" s="59"/>
    </row>
    <row r="636" spans="1:20">
      <c r="F636" s="413"/>
    </row>
    <row r="637" spans="1:20">
      <c r="A637" s="50"/>
      <c r="B637" s="50"/>
      <c r="C637" s="50"/>
      <c r="D637" s="52"/>
      <c r="E637" s="211"/>
      <c r="F637" s="273"/>
      <c r="G637" s="50"/>
    </row>
    <row r="638" spans="1:20">
      <c r="F638" s="413"/>
    </row>
    <row r="639" spans="1:20">
      <c r="F639" s="413"/>
    </row>
    <row r="640" spans="1:20">
      <c r="F640" s="413"/>
    </row>
    <row r="641" spans="1:7">
      <c r="F641" s="413"/>
    </row>
    <row r="642" spans="1:7">
      <c r="F642" s="413"/>
    </row>
    <row r="643" spans="1:7">
      <c r="A643" s="83"/>
      <c r="B643" s="85"/>
      <c r="C643" s="85"/>
      <c r="D643" s="177"/>
      <c r="E643" s="212"/>
      <c r="F643" s="384"/>
      <c r="G643" s="85"/>
    </row>
    <row r="644" spans="1:7">
      <c r="F644" s="413"/>
    </row>
    <row r="645" spans="1:7">
      <c r="F645" s="413"/>
    </row>
    <row r="646" spans="1:7">
      <c r="A646" s="50"/>
      <c r="B646" s="50"/>
      <c r="C646" s="50"/>
      <c r="D646" s="52"/>
      <c r="E646" s="211"/>
      <c r="F646" s="273"/>
      <c r="G646" s="50"/>
    </row>
    <row r="647" spans="1:7">
      <c r="A647" s="50"/>
      <c r="F647" s="413"/>
    </row>
    <row r="648" spans="1:7">
      <c r="A648" s="50"/>
      <c r="B648" s="50"/>
      <c r="C648" s="50"/>
      <c r="D648" s="52"/>
      <c r="E648" s="211"/>
      <c r="F648" s="273"/>
      <c r="G648" s="50"/>
    </row>
    <row r="649" spans="1:7">
      <c r="F649" s="413"/>
    </row>
    <row r="650" spans="1:7">
      <c r="F650" s="413"/>
    </row>
    <row r="651" spans="1:7">
      <c r="F651" s="413"/>
    </row>
    <row r="652" spans="1:7">
      <c r="F652" s="413"/>
    </row>
    <row r="653" spans="1:7">
      <c r="F653" s="413"/>
    </row>
    <row r="654" spans="1:7">
      <c r="A654" s="50"/>
      <c r="B654" s="84"/>
      <c r="C654" s="84"/>
      <c r="D654" s="52"/>
      <c r="E654" s="210"/>
      <c r="F654" s="384"/>
      <c r="G654" s="84"/>
    </row>
    <row r="655" spans="1:7">
      <c r="F655" s="413"/>
    </row>
    <row r="656" spans="1:7">
      <c r="A656" s="50"/>
      <c r="B656" s="50"/>
      <c r="C656" s="50"/>
      <c r="D656" s="52"/>
      <c r="E656" s="211"/>
      <c r="F656" s="273"/>
      <c r="G656" s="50"/>
    </row>
    <row r="657" spans="1:7">
      <c r="F657" s="413"/>
    </row>
    <row r="658" spans="1:7">
      <c r="F658" s="413"/>
    </row>
    <row r="659" spans="1:7">
      <c r="F659" s="413"/>
    </row>
    <row r="660" spans="1:7">
      <c r="F660" s="413"/>
    </row>
    <row r="661" spans="1:7">
      <c r="A661" s="83"/>
      <c r="B661" s="84"/>
      <c r="C661" s="84"/>
      <c r="D661" s="52"/>
      <c r="E661" s="210"/>
      <c r="F661" s="384"/>
      <c r="G661" s="84"/>
    </row>
    <row r="662" spans="1:7">
      <c r="F662" s="413"/>
    </row>
    <row r="663" spans="1:7">
      <c r="A663" s="50"/>
      <c r="B663" s="50"/>
      <c r="C663" s="50"/>
      <c r="D663" s="52"/>
      <c r="E663" s="211"/>
      <c r="F663" s="273"/>
      <c r="G663" s="50"/>
    </row>
    <row r="664" spans="1:7">
      <c r="F664" s="413"/>
    </row>
    <row r="665" spans="1:7">
      <c r="F665" s="413"/>
    </row>
    <row r="666" spans="1:7">
      <c r="F666" s="413"/>
    </row>
    <row r="667" spans="1:7">
      <c r="F667" s="413"/>
    </row>
    <row r="668" spans="1:7">
      <c r="A668" s="83"/>
      <c r="B668" s="84"/>
      <c r="C668" s="84"/>
      <c r="D668" s="52"/>
      <c r="E668" s="210"/>
      <c r="F668" s="384"/>
      <c r="G668" s="84"/>
    </row>
    <row r="669" spans="1:7">
      <c r="F669" s="413"/>
    </row>
    <row r="670" spans="1:7">
      <c r="A670" s="50"/>
      <c r="B670" s="50"/>
      <c r="C670" s="50"/>
      <c r="D670" s="52"/>
      <c r="E670" s="211"/>
      <c r="F670" s="273"/>
      <c r="G670" s="50"/>
    </row>
    <row r="671" spans="1:7">
      <c r="F671" s="413"/>
    </row>
    <row r="672" spans="1:7">
      <c r="F672" s="413"/>
    </row>
    <row r="673" spans="1:7">
      <c r="F673" s="413"/>
    </row>
    <row r="674" spans="1:7">
      <c r="F674" s="413"/>
    </row>
    <row r="675" spans="1:7">
      <c r="A675" s="83"/>
      <c r="B675" s="84"/>
      <c r="C675" s="84"/>
      <c r="D675" s="52"/>
      <c r="E675" s="210"/>
      <c r="F675" s="384"/>
      <c r="G675" s="84"/>
    </row>
    <row r="676" spans="1:7">
      <c r="F676" s="413"/>
    </row>
    <row r="677" spans="1:7">
      <c r="A677" s="50"/>
      <c r="B677" s="50"/>
      <c r="C677" s="50"/>
      <c r="D677" s="52"/>
      <c r="E677" s="211"/>
      <c r="F677" s="273"/>
      <c r="G677" s="50"/>
    </row>
    <row r="678" spans="1:7">
      <c r="F678" s="413"/>
    </row>
    <row r="679" spans="1:7">
      <c r="F679" s="413"/>
    </row>
    <row r="680" spans="1:7">
      <c r="F680" s="413"/>
    </row>
    <row r="681" spans="1:7">
      <c r="F681" s="413"/>
    </row>
    <row r="682" spans="1:7">
      <c r="F682" s="413"/>
    </row>
    <row r="683" spans="1:7">
      <c r="A683" s="83"/>
      <c r="B683" s="85"/>
      <c r="C683" s="85"/>
      <c r="D683" s="177"/>
      <c r="E683" s="212"/>
      <c r="F683" s="384"/>
      <c r="G683" s="85"/>
    </row>
    <row r="684" spans="1:7">
      <c r="F684" s="413"/>
    </row>
    <row r="685" spans="1:7">
      <c r="F685" s="413"/>
    </row>
    <row r="686" spans="1:7">
      <c r="A686" s="50"/>
      <c r="B686" s="50"/>
      <c r="C686" s="50"/>
      <c r="D686" s="52"/>
      <c r="E686" s="211"/>
      <c r="F686" s="273"/>
      <c r="G686" s="50"/>
    </row>
    <row r="687" spans="1:7">
      <c r="A687" s="50"/>
      <c r="F687" s="413"/>
    </row>
    <row r="688" spans="1:7">
      <c r="A688" s="50"/>
      <c r="B688" s="50"/>
      <c r="C688" s="50"/>
      <c r="D688" s="52"/>
      <c r="E688" s="211"/>
      <c r="F688" s="273"/>
      <c r="G688" s="50"/>
    </row>
    <row r="689" spans="1:7">
      <c r="F689" s="413"/>
    </row>
    <row r="690" spans="1:7">
      <c r="F690" s="413"/>
    </row>
    <row r="691" spans="1:7">
      <c r="F691" s="413"/>
    </row>
    <row r="692" spans="1:7">
      <c r="F692" s="413"/>
    </row>
    <row r="693" spans="1:7">
      <c r="F693" s="413"/>
    </row>
    <row r="694" spans="1:7">
      <c r="A694" s="50"/>
      <c r="B694" s="84"/>
      <c r="C694" s="84"/>
      <c r="D694" s="52"/>
      <c r="E694" s="210"/>
      <c r="F694" s="384"/>
      <c r="G694" s="84"/>
    </row>
    <row r="695" spans="1:7">
      <c r="F695" s="413"/>
    </row>
    <row r="696" spans="1:7">
      <c r="A696" s="50"/>
      <c r="B696" s="50"/>
      <c r="C696" s="50"/>
      <c r="D696" s="52"/>
      <c r="E696" s="211"/>
      <c r="F696" s="273"/>
      <c r="G696" s="50"/>
    </row>
    <row r="697" spans="1:7">
      <c r="F697" s="413"/>
    </row>
    <row r="698" spans="1:7">
      <c r="F698" s="413"/>
    </row>
    <row r="699" spans="1:7">
      <c r="F699" s="413"/>
    </row>
    <row r="700" spans="1:7">
      <c r="F700" s="413"/>
    </row>
    <row r="701" spans="1:7">
      <c r="A701" s="83"/>
      <c r="B701" s="84"/>
      <c r="C701" s="84"/>
      <c r="D701" s="52"/>
      <c r="E701" s="210"/>
      <c r="F701" s="384"/>
      <c r="G701" s="84"/>
    </row>
    <row r="702" spans="1:7">
      <c r="F702" s="413"/>
    </row>
    <row r="703" spans="1:7">
      <c r="A703" s="50"/>
      <c r="B703" s="50"/>
      <c r="C703" s="50"/>
      <c r="D703" s="52"/>
      <c r="E703" s="211"/>
      <c r="F703" s="273"/>
      <c r="G703" s="50"/>
    </row>
    <row r="704" spans="1:7">
      <c r="F704" s="413"/>
    </row>
    <row r="705" spans="1:7">
      <c r="F705" s="413"/>
    </row>
    <row r="706" spans="1:7">
      <c r="F706" s="413"/>
    </row>
    <row r="707" spans="1:7">
      <c r="F707" s="413"/>
    </row>
    <row r="708" spans="1:7">
      <c r="A708" s="83"/>
      <c r="B708" s="84"/>
      <c r="C708" s="84"/>
      <c r="D708" s="52"/>
      <c r="E708" s="210"/>
      <c r="F708" s="384"/>
      <c r="G708" s="84"/>
    </row>
    <row r="709" spans="1:7">
      <c r="F709" s="413"/>
    </row>
    <row r="710" spans="1:7">
      <c r="A710" s="50"/>
      <c r="B710" s="50"/>
      <c r="C710" s="50"/>
      <c r="D710" s="52"/>
      <c r="E710" s="211"/>
      <c r="F710" s="273"/>
      <c r="G710" s="50"/>
    </row>
    <row r="711" spans="1:7">
      <c r="F711" s="413"/>
    </row>
    <row r="712" spans="1:7">
      <c r="F712" s="413"/>
    </row>
    <row r="713" spans="1:7">
      <c r="F713" s="413"/>
    </row>
    <row r="714" spans="1:7">
      <c r="F714" s="413"/>
    </row>
    <row r="715" spans="1:7">
      <c r="A715" s="83"/>
      <c r="B715" s="84"/>
      <c r="C715" s="84"/>
      <c r="D715" s="52"/>
      <c r="E715" s="210"/>
      <c r="F715" s="384"/>
      <c r="G715" s="84"/>
    </row>
    <row r="716" spans="1:7">
      <c r="F716" s="413"/>
    </row>
    <row r="717" spans="1:7">
      <c r="A717" s="50"/>
      <c r="B717" s="50"/>
      <c r="C717" s="50"/>
      <c r="D717" s="52"/>
      <c r="E717" s="211"/>
      <c r="F717" s="273"/>
      <c r="G717" s="50"/>
    </row>
    <row r="718" spans="1:7">
      <c r="F718" s="413"/>
    </row>
    <row r="719" spans="1:7">
      <c r="F719" s="413"/>
    </row>
    <row r="720" spans="1:7">
      <c r="F720" s="413"/>
    </row>
    <row r="721" spans="1:7">
      <c r="F721" s="413"/>
    </row>
    <row r="722" spans="1:7">
      <c r="F722" s="413"/>
    </row>
    <row r="723" spans="1:7">
      <c r="A723" s="83"/>
      <c r="B723" s="85"/>
      <c r="C723" s="85"/>
      <c r="D723" s="177"/>
      <c r="E723" s="212"/>
      <c r="F723" s="384"/>
      <c r="G723" s="85"/>
    </row>
    <row r="724" spans="1:7">
      <c r="F724" s="413"/>
    </row>
    <row r="725" spans="1:7">
      <c r="F725" s="413"/>
    </row>
    <row r="726" spans="1:7">
      <c r="A726" s="50"/>
      <c r="B726" s="50"/>
      <c r="C726" s="50"/>
      <c r="D726" s="52"/>
      <c r="E726" s="211"/>
      <c r="F726" s="273"/>
      <c r="G726" s="50"/>
    </row>
    <row r="727" spans="1:7">
      <c r="A727" s="50"/>
      <c r="F727" s="413"/>
    </row>
    <row r="728" spans="1:7">
      <c r="A728" s="50"/>
      <c r="B728" s="50"/>
      <c r="C728" s="50"/>
      <c r="D728" s="52"/>
      <c r="E728" s="211"/>
      <c r="F728" s="273"/>
      <c r="G728" s="50"/>
    </row>
    <row r="729" spans="1:7">
      <c r="F729" s="413"/>
    </row>
    <row r="730" spans="1:7">
      <c r="F730" s="413"/>
    </row>
    <row r="731" spans="1:7">
      <c r="F731" s="413"/>
    </row>
    <row r="732" spans="1:7">
      <c r="F732" s="413"/>
    </row>
    <row r="733" spans="1:7">
      <c r="F733" s="413"/>
    </row>
    <row r="734" spans="1:7">
      <c r="A734" s="50"/>
      <c r="B734" s="84"/>
      <c r="C734" s="84"/>
      <c r="D734" s="52"/>
      <c r="E734" s="210"/>
      <c r="F734" s="384"/>
      <c r="G734" s="84"/>
    </row>
    <row r="735" spans="1:7">
      <c r="F735" s="413"/>
    </row>
    <row r="736" spans="1:7">
      <c r="A736" s="50"/>
      <c r="B736" s="50"/>
      <c r="C736" s="50"/>
      <c r="D736" s="52"/>
      <c r="E736" s="211"/>
      <c r="F736" s="273"/>
      <c r="G736" s="50"/>
    </row>
    <row r="737" spans="1:7">
      <c r="F737" s="413"/>
    </row>
    <row r="738" spans="1:7">
      <c r="F738" s="413"/>
    </row>
    <row r="739" spans="1:7">
      <c r="F739" s="413"/>
    </row>
    <row r="740" spans="1:7">
      <c r="F740" s="413"/>
    </row>
    <row r="741" spans="1:7">
      <c r="A741" s="83"/>
      <c r="B741" s="84"/>
      <c r="C741" s="84"/>
      <c r="D741" s="52"/>
      <c r="E741" s="210"/>
      <c r="F741" s="384"/>
      <c r="G741" s="84"/>
    </row>
    <row r="742" spans="1:7">
      <c r="F742" s="413"/>
    </row>
    <row r="743" spans="1:7">
      <c r="A743" s="50"/>
      <c r="B743" s="50"/>
      <c r="C743" s="50"/>
      <c r="D743" s="52"/>
      <c r="E743" s="211"/>
      <c r="F743" s="273"/>
      <c r="G743" s="50"/>
    </row>
    <row r="744" spans="1:7">
      <c r="F744" s="413"/>
    </row>
    <row r="745" spans="1:7">
      <c r="F745" s="413"/>
    </row>
    <row r="746" spans="1:7">
      <c r="F746" s="413"/>
    </row>
    <row r="747" spans="1:7">
      <c r="F747" s="413"/>
    </row>
    <row r="748" spans="1:7">
      <c r="A748" s="83"/>
      <c r="B748" s="84"/>
      <c r="C748" s="84"/>
      <c r="D748" s="52"/>
      <c r="E748" s="210"/>
      <c r="F748" s="384"/>
      <c r="G748" s="84"/>
    </row>
    <row r="749" spans="1:7">
      <c r="F749" s="413"/>
    </row>
    <row r="750" spans="1:7">
      <c r="A750" s="50"/>
      <c r="B750" s="50"/>
      <c r="C750" s="50"/>
      <c r="D750" s="52"/>
      <c r="E750" s="211"/>
      <c r="F750" s="273"/>
      <c r="G750" s="50"/>
    </row>
    <row r="751" spans="1:7">
      <c r="F751" s="413"/>
    </row>
    <row r="752" spans="1:7">
      <c r="F752" s="413"/>
    </row>
    <row r="753" spans="1:7">
      <c r="F753" s="413"/>
    </row>
    <row r="754" spans="1:7">
      <c r="F754" s="413"/>
    </row>
    <row r="755" spans="1:7">
      <c r="A755" s="83"/>
      <c r="B755" s="84"/>
      <c r="C755" s="84"/>
      <c r="D755" s="52"/>
      <c r="E755" s="210"/>
      <c r="F755" s="384"/>
      <c r="G755" s="84"/>
    </row>
    <row r="756" spans="1:7">
      <c r="F756" s="413"/>
    </row>
    <row r="757" spans="1:7">
      <c r="A757" s="50"/>
      <c r="B757" s="50"/>
      <c r="C757" s="50"/>
      <c r="D757" s="52"/>
      <c r="E757" s="211"/>
      <c r="F757" s="273"/>
      <c r="G757" s="50"/>
    </row>
    <row r="758" spans="1:7">
      <c r="F758" s="413"/>
    </row>
    <row r="759" spans="1:7">
      <c r="F759" s="413"/>
    </row>
    <row r="760" spans="1:7">
      <c r="F760" s="413"/>
    </row>
    <row r="761" spans="1:7">
      <c r="F761" s="413"/>
    </row>
    <row r="762" spans="1:7">
      <c r="F762" s="413"/>
    </row>
    <row r="763" spans="1:7">
      <c r="A763" s="83"/>
      <c r="B763" s="85"/>
      <c r="C763" s="85"/>
      <c r="D763" s="177"/>
      <c r="E763" s="212"/>
      <c r="F763" s="384"/>
      <c r="G763" s="85"/>
    </row>
    <row r="764" spans="1:7">
      <c r="F764" s="413"/>
    </row>
    <row r="765" spans="1:7">
      <c r="F765" s="413"/>
    </row>
    <row r="766" spans="1:7">
      <c r="A766" s="50"/>
      <c r="B766" s="50"/>
      <c r="C766" s="50"/>
      <c r="D766" s="52"/>
      <c r="E766" s="211"/>
      <c r="F766" s="273"/>
      <c r="G766" s="50"/>
    </row>
    <row r="767" spans="1:7">
      <c r="A767" s="50"/>
      <c r="F767" s="413"/>
    </row>
    <row r="768" spans="1:7">
      <c r="A768" s="50"/>
      <c r="B768" s="50"/>
      <c r="C768" s="50"/>
      <c r="D768" s="52"/>
      <c r="E768" s="211"/>
      <c r="F768" s="273"/>
      <c r="G768" s="50"/>
    </row>
    <row r="769" spans="1:7">
      <c r="F769" s="413"/>
    </row>
    <row r="770" spans="1:7">
      <c r="F770" s="413"/>
    </row>
    <row r="771" spans="1:7">
      <c r="F771" s="413"/>
    </row>
    <row r="772" spans="1:7">
      <c r="F772" s="413"/>
    </row>
    <row r="773" spans="1:7">
      <c r="F773" s="413"/>
    </row>
    <row r="774" spans="1:7">
      <c r="A774" s="50"/>
      <c r="B774" s="84"/>
      <c r="C774" s="84"/>
      <c r="D774" s="52"/>
      <c r="E774" s="210"/>
      <c r="F774" s="384"/>
      <c r="G774" s="84"/>
    </row>
    <row r="775" spans="1:7">
      <c r="F775" s="413"/>
    </row>
    <row r="776" spans="1:7">
      <c r="A776" s="50"/>
      <c r="B776" s="50"/>
      <c r="C776" s="50"/>
      <c r="D776" s="52"/>
      <c r="E776" s="211"/>
      <c r="F776" s="273"/>
      <c r="G776" s="50"/>
    </row>
    <row r="777" spans="1:7">
      <c r="F777" s="413"/>
    </row>
    <row r="778" spans="1:7">
      <c r="F778" s="413"/>
    </row>
    <row r="779" spans="1:7">
      <c r="F779" s="413"/>
    </row>
    <row r="780" spans="1:7">
      <c r="F780" s="413"/>
    </row>
    <row r="781" spans="1:7">
      <c r="A781" s="83"/>
      <c r="B781" s="84"/>
      <c r="C781" s="84"/>
      <c r="D781" s="52"/>
      <c r="E781" s="210"/>
      <c r="F781" s="384"/>
      <c r="G781" s="84"/>
    </row>
    <row r="782" spans="1:7">
      <c r="F782" s="413"/>
    </row>
    <row r="783" spans="1:7">
      <c r="A783" s="50"/>
      <c r="B783" s="50"/>
      <c r="C783" s="50"/>
      <c r="D783" s="52"/>
      <c r="E783" s="211"/>
      <c r="F783" s="273"/>
      <c r="G783" s="50"/>
    </row>
    <row r="784" spans="1:7">
      <c r="F784" s="413"/>
    </row>
    <row r="785" spans="1:7">
      <c r="F785" s="413"/>
    </row>
    <row r="786" spans="1:7">
      <c r="F786" s="413"/>
    </row>
    <row r="787" spans="1:7">
      <c r="F787" s="413"/>
    </row>
    <row r="788" spans="1:7">
      <c r="A788" s="83"/>
      <c r="B788" s="84"/>
      <c r="C788" s="84"/>
      <c r="D788" s="52"/>
      <c r="E788" s="210"/>
      <c r="F788" s="384"/>
      <c r="G788" s="84"/>
    </row>
    <row r="789" spans="1:7">
      <c r="F789" s="413"/>
    </row>
    <row r="790" spans="1:7">
      <c r="A790" s="50"/>
      <c r="B790" s="50"/>
      <c r="C790" s="50"/>
      <c r="D790" s="52"/>
      <c r="E790" s="211"/>
      <c r="F790" s="273"/>
      <c r="G790" s="50"/>
    </row>
    <row r="791" spans="1:7">
      <c r="F791" s="413"/>
    </row>
    <row r="792" spans="1:7">
      <c r="F792" s="413"/>
    </row>
    <row r="793" spans="1:7">
      <c r="F793" s="413"/>
    </row>
    <row r="794" spans="1:7">
      <c r="F794" s="413"/>
    </row>
    <row r="795" spans="1:7">
      <c r="A795" s="83"/>
      <c r="B795" s="84"/>
      <c r="C795" s="84"/>
      <c r="D795" s="52"/>
      <c r="E795" s="210"/>
      <c r="F795" s="384"/>
      <c r="G795" s="84"/>
    </row>
    <row r="796" spans="1:7">
      <c r="F796" s="413"/>
    </row>
    <row r="797" spans="1:7">
      <c r="A797" s="50"/>
      <c r="B797" s="50"/>
      <c r="C797" s="50"/>
      <c r="D797" s="52"/>
      <c r="E797" s="211"/>
      <c r="F797" s="273"/>
      <c r="G797" s="50"/>
    </row>
    <row r="798" spans="1:7">
      <c r="F798" s="413"/>
    </row>
    <row r="799" spans="1:7">
      <c r="F799" s="413"/>
    </row>
    <row r="800" spans="1:7">
      <c r="F800" s="413"/>
    </row>
    <row r="801" spans="1:7">
      <c r="F801" s="413"/>
    </row>
    <row r="802" spans="1:7">
      <c r="F802" s="413"/>
    </row>
    <row r="803" spans="1:7">
      <c r="A803" s="83"/>
      <c r="B803" s="85"/>
      <c r="C803" s="85"/>
      <c r="D803" s="177"/>
      <c r="E803" s="212"/>
      <c r="F803" s="384"/>
      <c r="G803" s="85"/>
    </row>
    <row r="804" spans="1:7">
      <c r="F804" s="413"/>
    </row>
    <row r="805" spans="1:7">
      <c r="F805" s="413"/>
    </row>
    <row r="806" spans="1:7">
      <c r="A806" s="50"/>
      <c r="B806" s="50"/>
      <c r="C806" s="50"/>
      <c r="D806" s="52"/>
      <c r="E806" s="211"/>
      <c r="F806" s="273"/>
      <c r="G806" s="50"/>
    </row>
    <row r="807" spans="1:7">
      <c r="A807" s="50"/>
      <c r="F807" s="413"/>
    </row>
    <row r="808" spans="1:7">
      <c r="A808" s="50"/>
      <c r="B808" s="50"/>
      <c r="C808" s="50"/>
      <c r="D808" s="52"/>
      <c r="E808" s="211"/>
      <c r="F808" s="273"/>
      <c r="G808" s="50"/>
    </row>
    <row r="809" spans="1:7">
      <c r="F809" s="413"/>
    </row>
    <row r="810" spans="1:7">
      <c r="F810" s="413"/>
    </row>
    <row r="811" spans="1:7">
      <c r="F811" s="413"/>
    </row>
    <row r="812" spans="1:7">
      <c r="F812" s="413"/>
    </row>
    <row r="813" spans="1:7">
      <c r="F813" s="413"/>
    </row>
    <row r="814" spans="1:7">
      <c r="A814" s="50"/>
      <c r="B814" s="84"/>
      <c r="C814" s="84"/>
      <c r="D814" s="52"/>
      <c r="E814" s="210"/>
      <c r="F814" s="384"/>
      <c r="G814" s="84"/>
    </row>
    <row r="815" spans="1:7">
      <c r="F815" s="413"/>
    </row>
    <row r="816" spans="1:7">
      <c r="A816" s="50"/>
      <c r="B816" s="50"/>
      <c r="C816" s="50"/>
      <c r="D816" s="52"/>
      <c r="E816" s="211"/>
      <c r="F816" s="273"/>
      <c r="G816" s="50"/>
    </row>
    <row r="817" spans="1:7">
      <c r="F817" s="413"/>
    </row>
    <row r="818" spans="1:7">
      <c r="F818" s="413"/>
    </row>
    <row r="819" spans="1:7">
      <c r="F819" s="413"/>
    </row>
    <row r="820" spans="1:7">
      <c r="F820" s="413"/>
    </row>
    <row r="821" spans="1:7">
      <c r="A821" s="83"/>
      <c r="B821" s="84"/>
      <c r="C821" s="84"/>
      <c r="D821" s="52"/>
      <c r="E821" s="210"/>
      <c r="F821" s="384"/>
      <c r="G821" s="84"/>
    </row>
    <row r="822" spans="1:7">
      <c r="F822" s="413"/>
    </row>
    <row r="823" spans="1:7">
      <c r="A823" s="50"/>
      <c r="B823" s="50"/>
      <c r="C823" s="50"/>
      <c r="D823" s="52"/>
      <c r="E823" s="211"/>
      <c r="F823" s="273"/>
      <c r="G823" s="50"/>
    </row>
    <row r="824" spans="1:7">
      <c r="F824" s="413"/>
    </row>
    <row r="825" spans="1:7">
      <c r="F825" s="413"/>
    </row>
    <row r="826" spans="1:7">
      <c r="F826" s="413"/>
    </row>
    <row r="827" spans="1:7">
      <c r="F827" s="413"/>
    </row>
    <row r="828" spans="1:7">
      <c r="A828" s="83"/>
      <c r="B828" s="84"/>
      <c r="C828" s="84"/>
      <c r="D828" s="52"/>
      <c r="E828" s="210"/>
      <c r="F828" s="384"/>
      <c r="G828" s="84"/>
    </row>
    <row r="829" spans="1:7">
      <c r="F829" s="413"/>
    </row>
    <row r="830" spans="1:7">
      <c r="A830" s="50"/>
      <c r="B830" s="50"/>
      <c r="C830" s="50"/>
      <c r="D830" s="52"/>
      <c r="E830" s="211"/>
      <c r="F830" s="273"/>
      <c r="G830" s="50"/>
    </row>
    <row r="831" spans="1:7">
      <c r="F831" s="413"/>
    </row>
    <row r="832" spans="1:7">
      <c r="F832" s="413"/>
    </row>
    <row r="833" spans="1:7">
      <c r="F833" s="413"/>
    </row>
    <row r="834" spans="1:7">
      <c r="F834" s="413"/>
    </row>
    <row r="835" spans="1:7">
      <c r="A835" s="83"/>
      <c r="B835" s="84"/>
      <c r="C835" s="84"/>
      <c r="D835" s="52"/>
      <c r="E835" s="210"/>
      <c r="F835" s="384"/>
      <c r="G835" s="84"/>
    </row>
    <row r="836" spans="1:7">
      <c r="F836" s="413"/>
    </row>
    <row r="837" spans="1:7">
      <c r="A837" s="50"/>
      <c r="B837" s="50"/>
      <c r="C837" s="50"/>
      <c r="D837" s="52"/>
      <c r="E837" s="211"/>
      <c r="F837" s="273"/>
      <c r="G837" s="50"/>
    </row>
    <row r="838" spans="1:7">
      <c r="F838" s="413"/>
    </row>
    <row r="839" spans="1:7">
      <c r="F839" s="413"/>
    </row>
    <row r="840" spans="1:7">
      <c r="F840" s="413"/>
    </row>
    <row r="841" spans="1:7">
      <c r="F841" s="413"/>
    </row>
    <row r="842" spans="1:7">
      <c r="F842" s="413"/>
    </row>
    <row r="843" spans="1:7">
      <c r="A843" s="83"/>
      <c r="B843" s="85"/>
      <c r="C843" s="85"/>
      <c r="D843" s="177"/>
      <c r="E843" s="212"/>
      <c r="F843" s="384"/>
      <c r="G843" s="85"/>
    </row>
    <row r="844" spans="1:7">
      <c r="F844" s="413"/>
    </row>
    <row r="845" spans="1:7">
      <c r="F845" s="413"/>
    </row>
    <row r="846" spans="1:7">
      <c r="A846" s="50"/>
      <c r="B846" s="50"/>
      <c r="C846" s="50"/>
      <c r="D846" s="52"/>
      <c r="E846" s="211"/>
      <c r="F846" s="273"/>
      <c r="G846" s="50"/>
    </row>
    <row r="847" spans="1:7">
      <c r="A847" s="50"/>
      <c r="F847" s="413"/>
    </row>
    <row r="848" spans="1:7">
      <c r="A848" s="50"/>
      <c r="B848" s="50"/>
      <c r="C848" s="50"/>
      <c r="D848" s="52"/>
      <c r="E848" s="211"/>
      <c r="F848" s="273"/>
      <c r="G848" s="50"/>
    </row>
    <row r="849" spans="1:7">
      <c r="F849" s="413"/>
    </row>
    <row r="850" spans="1:7">
      <c r="F850" s="413"/>
    </row>
    <row r="851" spans="1:7">
      <c r="F851" s="413"/>
    </row>
    <row r="852" spans="1:7">
      <c r="F852" s="413"/>
    </row>
    <row r="853" spans="1:7">
      <c r="F853" s="413"/>
    </row>
    <row r="854" spans="1:7">
      <c r="A854" s="50"/>
      <c r="B854" s="84"/>
      <c r="C854" s="84"/>
      <c r="D854" s="52"/>
      <c r="E854" s="210"/>
      <c r="F854" s="384"/>
      <c r="G854" s="84"/>
    </row>
    <row r="855" spans="1:7">
      <c r="F855" s="413"/>
    </row>
    <row r="856" spans="1:7">
      <c r="A856" s="50"/>
      <c r="B856" s="50"/>
      <c r="C856" s="50"/>
      <c r="D856" s="52"/>
      <c r="E856" s="211"/>
      <c r="F856" s="273"/>
      <c r="G856" s="50"/>
    </row>
    <row r="857" spans="1:7">
      <c r="F857" s="413"/>
    </row>
    <row r="858" spans="1:7">
      <c r="F858" s="413"/>
    </row>
    <row r="859" spans="1:7">
      <c r="F859" s="413"/>
    </row>
    <row r="860" spans="1:7">
      <c r="F860" s="413"/>
    </row>
    <row r="861" spans="1:7">
      <c r="A861" s="83"/>
      <c r="B861" s="84"/>
      <c r="C861" s="84"/>
      <c r="D861" s="52"/>
      <c r="E861" s="210"/>
      <c r="F861" s="384"/>
      <c r="G861" s="84"/>
    </row>
    <row r="862" spans="1:7">
      <c r="F862" s="413"/>
    </row>
    <row r="863" spans="1:7">
      <c r="A863" s="50"/>
      <c r="B863" s="50"/>
      <c r="C863" s="50"/>
      <c r="D863" s="52"/>
      <c r="E863" s="211"/>
      <c r="F863" s="273"/>
      <c r="G863" s="50"/>
    </row>
    <row r="864" spans="1:7">
      <c r="F864" s="413"/>
    </row>
    <row r="865" spans="1:7">
      <c r="F865" s="413"/>
    </row>
    <row r="866" spans="1:7">
      <c r="F866" s="413"/>
    </row>
    <row r="867" spans="1:7">
      <c r="F867" s="413"/>
    </row>
    <row r="868" spans="1:7">
      <c r="A868" s="83"/>
      <c r="B868" s="84"/>
      <c r="C868" s="84"/>
      <c r="D868" s="52"/>
      <c r="E868" s="210"/>
      <c r="F868" s="384"/>
      <c r="G868" s="84"/>
    </row>
    <row r="869" spans="1:7">
      <c r="F869" s="413"/>
    </row>
    <row r="870" spans="1:7">
      <c r="A870" s="50"/>
      <c r="B870" s="50"/>
      <c r="C870" s="50"/>
      <c r="D870" s="52"/>
      <c r="E870" s="211"/>
      <c r="F870" s="273"/>
      <c r="G870" s="50"/>
    </row>
    <row r="871" spans="1:7">
      <c r="F871" s="413"/>
    </row>
    <row r="872" spans="1:7">
      <c r="F872" s="413"/>
    </row>
    <row r="873" spans="1:7">
      <c r="F873" s="413"/>
    </row>
    <row r="874" spans="1:7">
      <c r="F874" s="413"/>
    </row>
    <row r="875" spans="1:7">
      <c r="A875" s="83"/>
      <c r="B875" s="84"/>
      <c r="C875" s="84"/>
      <c r="D875" s="52"/>
      <c r="E875" s="210"/>
      <c r="F875" s="384"/>
      <c r="G875" s="84"/>
    </row>
    <row r="876" spans="1:7">
      <c r="F876" s="413"/>
    </row>
    <row r="877" spans="1:7">
      <c r="A877" s="50"/>
      <c r="B877" s="50"/>
      <c r="C877" s="50"/>
      <c r="D877" s="52"/>
      <c r="E877" s="211"/>
      <c r="F877" s="273"/>
      <c r="G877" s="50"/>
    </row>
    <row r="878" spans="1:7">
      <c r="F878" s="413"/>
    </row>
    <row r="879" spans="1:7">
      <c r="F879" s="413"/>
    </row>
    <row r="880" spans="1:7">
      <c r="F880" s="413"/>
    </row>
    <row r="881" spans="1:7">
      <c r="F881" s="413"/>
    </row>
    <row r="882" spans="1:7">
      <c r="F882" s="413"/>
    </row>
    <row r="883" spans="1:7">
      <c r="A883" s="83"/>
      <c r="B883" s="85"/>
      <c r="C883" s="85"/>
      <c r="D883" s="177"/>
      <c r="E883" s="212"/>
      <c r="F883" s="384"/>
      <c r="G883" s="85"/>
    </row>
    <row r="884" spans="1:7">
      <c r="F884" s="413"/>
    </row>
    <row r="885" spans="1:7">
      <c r="F885" s="413"/>
    </row>
    <row r="886" spans="1:7">
      <c r="A886" s="50"/>
      <c r="B886" s="50"/>
      <c r="C886" s="50"/>
      <c r="D886" s="52"/>
      <c r="E886" s="211"/>
      <c r="F886" s="273"/>
      <c r="G886" s="50"/>
    </row>
    <row r="887" spans="1:7">
      <c r="A887" s="50"/>
      <c r="F887" s="413"/>
    </row>
    <row r="888" spans="1:7">
      <c r="A888" s="50"/>
      <c r="B888" s="50"/>
      <c r="C888" s="50"/>
      <c r="D888" s="52"/>
      <c r="E888" s="211"/>
      <c r="F888" s="273"/>
      <c r="G888" s="50"/>
    </row>
    <row r="889" spans="1:7">
      <c r="F889" s="413"/>
    </row>
    <row r="890" spans="1:7">
      <c r="F890" s="413"/>
    </row>
    <row r="891" spans="1:7">
      <c r="F891" s="413"/>
    </row>
    <row r="892" spans="1:7">
      <c r="F892" s="413"/>
    </row>
    <row r="893" spans="1:7">
      <c r="F893" s="413"/>
    </row>
    <row r="894" spans="1:7">
      <c r="A894" s="50"/>
      <c r="B894" s="84"/>
      <c r="C894" s="84"/>
      <c r="D894" s="52"/>
      <c r="E894" s="210"/>
      <c r="F894" s="384"/>
      <c r="G894" s="84"/>
    </row>
    <row r="895" spans="1:7">
      <c r="F895" s="413"/>
    </row>
    <row r="896" spans="1:7">
      <c r="A896" s="50"/>
      <c r="B896" s="50"/>
      <c r="C896" s="50"/>
      <c r="D896" s="52"/>
      <c r="E896" s="211"/>
      <c r="F896" s="273"/>
      <c r="G896" s="50"/>
    </row>
    <row r="897" spans="1:7">
      <c r="F897" s="413"/>
    </row>
    <row r="898" spans="1:7">
      <c r="F898" s="413"/>
    </row>
    <row r="899" spans="1:7">
      <c r="F899" s="413"/>
    </row>
    <row r="900" spans="1:7">
      <c r="F900" s="413"/>
    </row>
    <row r="901" spans="1:7">
      <c r="A901" s="83"/>
      <c r="B901" s="84"/>
      <c r="C901" s="84"/>
      <c r="D901" s="52"/>
      <c r="E901" s="210"/>
      <c r="F901" s="384"/>
      <c r="G901" s="84"/>
    </row>
    <row r="902" spans="1:7">
      <c r="F902" s="413"/>
    </row>
    <row r="903" spans="1:7">
      <c r="A903" s="50"/>
      <c r="B903" s="50"/>
      <c r="C903" s="50"/>
      <c r="D903" s="52"/>
      <c r="E903" s="211"/>
      <c r="F903" s="273"/>
      <c r="G903" s="50"/>
    </row>
    <row r="904" spans="1:7">
      <c r="F904" s="413"/>
    </row>
    <row r="905" spans="1:7">
      <c r="F905" s="413"/>
    </row>
    <row r="906" spans="1:7">
      <c r="F906" s="413"/>
    </row>
    <row r="907" spans="1:7">
      <c r="F907" s="413"/>
    </row>
    <row r="908" spans="1:7">
      <c r="A908" s="83"/>
      <c r="B908" s="84"/>
      <c r="C908" s="84"/>
      <c r="D908" s="52"/>
      <c r="E908" s="210"/>
      <c r="F908" s="384"/>
      <c r="G908" s="84"/>
    </row>
    <row r="909" spans="1:7">
      <c r="F909" s="413"/>
    </row>
    <row r="910" spans="1:7">
      <c r="A910" s="50"/>
      <c r="B910" s="50"/>
      <c r="C910" s="50"/>
      <c r="D910" s="52"/>
      <c r="E910" s="211"/>
      <c r="F910" s="273"/>
      <c r="G910" s="50"/>
    </row>
    <row r="911" spans="1:7">
      <c r="F911" s="413"/>
    </row>
    <row r="912" spans="1:7">
      <c r="F912" s="413"/>
    </row>
    <row r="913" spans="1:7">
      <c r="F913" s="413"/>
    </row>
    <row r="914" spans="1:7">
      <c r="F914" s="413"/>
    </row>
    <row r="915" spans="1:7">
      <c r="A915" s="83"/>
      <c r="B915" s="84"/>
      <c r="C915" s="84"/>
      <c r="D915" s="52"/>
      <c r="E915" s="210"/>
      <c r="F915" s="384"/>
      <c r="G915" s="84"/>
    </row>
    <row r="916" spans="1:7">
      <c r="F916" s="413"/>
    </row>
    <row r="917" spans="1:7">
      <c r="A917" s="50"/>
      <c r="B917" s="50"/>
      <c r="C917" s="50"/>
      <c r="D917" s="52"/>
      <c r="E917" s="211"/>
      <c r="F917" s="273"/>
      <c r="G917" s="50"/>
    </row>
    <row r="918" spans="1:7">
      <c r="F918" s="413"/>
    </row>
    <row r="919" spans="1:7">
      <c r="F919" s="413"/>
    </row>
    <row r="920" spans="1:7">
      <c r="F920" s="413"/>
    </row>
    <row r="921" spans="1:7">
      <c r="F921" s="413"/>
    </row>
    <row r="922" spans="1:7">
      <c r="F922" s="413"/>
    </row>
    <row r="923" spans="1:7">
      <c r="A923" s="83"/>
      <c r="B923" s="85"/>
      <c r="C923" s="85"/>
      <c r="D923" s="177"/>
      <c r="E923" s="212"/>
      <c r="F923" s="384"/>
      <c r="G923" s="85"/>
    </row>
    <row r="924" spans="1:7">
      <c r="F924" s="413"/>
    </row>
    <row r="925" spans="1:7">
      <c r="F925" s="413"/>
    </row>
    <row r="926" spans="1:7">
      <c r="A926" s="50"/>
      <c r="B926" s="50"/>
      <c r="C926" s="50"/>
      <c r="D926" s="52"/>
      <c r="E926" s="211"/>
      <c r="F926" s="273"/>
      <c r="G926" s="50"/>
    </row>
    <row r="927" spans="1:7">
      <c r="A927" s="50"/>
      <c r="F927" s="413"/>
    </row>
    <row r="928" spans="1:7">
      <c r="A928" s="50"/>
      <c r="B928" s="50"/>
      <c r="C928" s="50"/>
      <c r="D928" s="52"/>
      <c r="E928" s="211"/>
      <c r="F928" s="273"/>
      <c r="G928" s="50"/>
    </row>
    <row r="929" spans="1:7">
      <c r="F929" s="413"/>
    </row>
    <row r="930" spans="1:7">
      <c r="F930" s="413"/>
    </row>
    <row r="931" spans="1:7">
      <c r="F931" s="413"/>
    </row>
    <row r="932" spans="1:7">
      <c r="F932" s="413"/>
    </row>
    <row r="933" spans="1:7">
      <c r="F933" s="413"/>
    </row>
    <row r="934" spans="1:7">
      <c r="A934" s="50"/>
      <c r="B934" s="84"/>
      <c r="C934" s="84"/>
      <c r="D934" s="52"/>
      <c r="E934" s="210"/>
      <c r="F934" s="384"/>
      <c r="G934" s="84"/>
    </row>
    <row r="935" spans="1:7">
      <c r="F935" s="413"/>
    </row>
    <row r="936" spans="1:7">
      <c r="A936" s="50"/>
      <c r="B936" s="50"/>
      <c r="C936" s="50"/>
      <c r="D936" s="52"/>
      <c r="E936" s="211"/>
      <c r="F936" s="273"/>
      <c r="G936" s="50"/>
    </row>
    <row r="937" spans="1:7">
      <c r="F937" s="413"/>
    </row>
    <row r="938" spans="1:7">
      <c r="F938" s="413"/>
    </row>
    <row r="939" spans="1:7">
      <c r="F939" s="413"/>
    </row>
    <row r="940" spans="1:7">
      <c r="F940" s="413"/>
    </row>
    <row r="941" spans="1:7">
      <c r="A941" s="83"/>
      <c r="B941" s="84"/>
      <c r="C941" s="84"/>
      <c r="D941" s="52"/>
      <c r="E941" s="210"/>
      <c r="F941" s="384"/>
      <c r="G941" s="84"/>
    </row>
    <row r="942" spans="1:7">
      <c r="F942" s="413"/>
    </row>
    <row r="943" spans="1:7">
      <c r="A943" s="50"/>
      <c r="B943" s="50"/>
      <c r="C943" s="50"/>
      <c r="D943" s="52"/>
      <c r="E943" s="211"/>
      <c r="F943" s="273"/>
      <c r="G943" s="50"/>
    </row>
    <row r="944" spans="1:7">
      <c r="F944" s="413"/>
    </row>
    <row r="945" spans="1:7">
      <c r="F945" s="413"/>
    </row>
    <row r="946" spans="1:7">
      <c r="F946" s="413"/>
    </row>
    <row r="947" spans="1:7">
      <c r="F947" s="413"/>
    </row>
    <row r="948" spans="1:7">
      <c r="A948" s="83"/>
      <c r="B948" s="84"/>
      <c r="C948" s="84"/>
      <c r="D948" s="52"/>
      <c r="E948" s="210"/>
      <c r="F948" s="384"/>
      <c r="G948" s="84"/>
    </row>
    <row r="949" spans="1:7">
      <c r="F949" s="413"/>
    </row>
    <row r="950" spans="1:7">
      <c r="A950" s="50"/>
      <c r="B950" s="50"/>
      <c r="C950" s="50"/>
      <c r="D950" s="52"/>
      <c r="E950" s="211"/>
      <c r="F950" s="273"/>
      <c r="G950" s="50"/>
    </row>
    <row r="951" spans="1:7">
      <c r="F951" s="413"/>
    </row>
    <row r="952" spans="1:7">
      <c r="F952" s="413"/>
    </row>
    <row r="953" spans="1:7">
      <c r="F953" s="413"/>
    </row>
    <row r="954" spans="1:7">
      <c r="F954" s="413"/>
    </row>
    <row r="955" spans="1:7">
      <c r="A955" s="83"/>
      <c r="B955" s="84"/>
      <c r="C955" s="84"/>
      <c r="D955" s="52"/>
      <c r="E955" s="210"/>
      <c r="F955" s="384"/>
      <c r="G955" s="84"/>
    </row>
    <row r="956" spans="1:7">
      <c r="F956" s="413"/>
    </row>
    <row r="957" spans="1:7">
      <c r="A957" s="50"/>
      <c r="B957" s="50"/>
      <c r="C957" s="50"/>
      <c r="D957" s="52"/>
      <c r="E957" s="211"/>
      <c r="F957" s="273"/>
      <c r="G957" s="50"/>
    </row>
    <row r="958" spans="1:7">
      <c r="F958" s="413"/>
    </row>
    <row r="959" spans="1:7">
      <c r="F959" s="413"/>
    </row>
    <row r="960" spans="1:7">
      <c r="F960" s="413"/>
    </row>
    <row r="961" spans="1:7">
      <c r="F961" s="413"/>
    </row>
    <row r="962" spans="1:7">
      <c r="F962" s="413"/>
    </row>
    <row r="963" spans="1:7">
      <c r="A963" s="83"/>
      <c r="B963" s="85"/>
      <c r="C963" s="85"/>
      <c r="D963" s="177"/>
      <c r="E963" s="212"/>
      <c r="F963" s="384"/>
      <c r="G963" s="85"/>
    </row>
    <row r="964" spans="1:7">
      <c r="F964" s="413"/>
    </row>
    <row r="965" spans="1:7">
      <c r="F965" s="413"/>
    </row>
    <row r="966" spans="1:7">
      <c r="A966" s="50"/>
      <c r="B966" s="50"/>
      <c r="C966" s="50"/>
      <c r="D966" s="52"/>
      <c r="E966" s="211"/>
      <c r="F966" s="273"/>
      <c r="G966" s="50"/>
    </row>
    <row r="967" spans="1:7">
      <c r="A967" s="50"/>
      <c r="F967" s="413"/>
    </row>
    <row r="968" spans="1:7">
      <c r="A968" s="50"/>
      <c r="B968" s="50"/>
      <c r="C968" s="50"/>
      <c r="D968" s="52"/>
      <c r="E968" s="211"/>
      <c r="F968" s="273"/>
      <c r="G968" s="50"/>
    </row>
    <row r="969" spans="1:7">
      <c r="F969" s="413"/>
    </row>
    <row r="970" spans="1:7">
      <c r="F970" s="413"/>
    </row>
    <row r="971" spans="1:7">
      <c r="F971" s="413"/>
    </row>
    <row r="972" spans="1:7">
      <c r="F972" s="413"/>
    </row>
    <row r="973" spans="1:7">
      <c r="F973" s="413"/>
    </row>
    <row r="974" spans="1:7">
      <c r="A974" s="50"/>
      <c r="B974" s="84"/>
      <c r="C974" s="84"/>
      <c r="D974" s="52"/>
      <c r="E974" s="210"/>
      <c r="F974" s="384"/>
      <c r="G974" s="84"/>
    </row>
    <row r="975" spans="1:7">
      <c r="F975" s="413"/>
    </row>
    <row r="976" spans="1:7">
      <c r="A976" s="50"/>
      <c r="B976" s="50"/>
      <c r="C976" s="50"/>
      <c r="D976" s="52"/>
      <c r="E976" s="211"/>
      <c r="F976" s="273"/>
      <c r="G976" s="50"/>
    </row>
    <row r="977" spans="1:7">
      <c r="F977" s="413"/>
    </row>
    <row r="978" spans="1:7">
      <c r="F978" s="413"/>
    </row>
    <row r="979" spans="1:7">
      <c r="F979" s="413"/>
    </row>
    <row r="980" spans="1:7">
      <c r="F980" s="413"/>
    </row>
    <row r="981" spans="1:7">
      <c r="A981" s="83"/>
      <c r="B981" s="84"/>
      <c r="C981" s="84"/>
      <c r="D981" s="52"/>
      <c r="E981" s="210"/>
      <c r="F981" s="384"/>
      <c r="G981" s="84"/>
    </row>
    <row r="982" spans="1:7">
      <c r="F982" s="413"/>
    </row>
    <row r="983" spans="1:7">
      <c r="A983" s="50"/>
      <c r="B983" s="50"/>
      <c r="C983" s="50"/>
      <c r="D983" s="52"/>
      <c r="E983" s="211"/>
      <c r="F983" s="273"/>
      <c r="G983" s="50"/>
    </row>
    <row r="984" spans="1:7">
      <c r="F984" s="413"/>
    </row>
    <row r="985" spans="1:7">
      <c r="F985" s="413"/>
    </row>
    <row r="986" spans="1:7">
      <c r="F986" s="413"/>
    </row>
    <row r="987" spans="1:7">
      <c r="F987" s="413"/>
    </row>
    <row r="988" spans="1:7">
      <c r="A988" s="83"/>
      <c r="B988" s="84"/>
      <c r="C988" s="84"/>
      <c r="D988" s="52"/>
      <c r="E988" s="210"/>
      <c r="F988" s="384"/>
      <c r="G988" s="84"/>
    </row>
    <row r="989" spans="1:7">
      <c r="F989" s="413"/>
    </row>
    <row r="990" spans="1:7">
      <c r="A990" s="50"/>
      <c r="B990" s="50"/>
      <c r="C990" s="50"/>
      <c r="D990" s="52"/>
      <c r="E990" s="211"/>
      <c r="F990" s="273"/>
      <c r="G990" s="50"/>
    </row>
    <row r="991" spans="1:7">
      <c r="F991" s="413"/>
    </row>
    <row r="992" spans="1:7">
      <c r="F992" s="413"/>
    </row>
    <row r="993" spans="1:7">
      <c r="F993" s="413"/>
    </row>
    <row r="994" spans="1:7">
      <c r="F994" s="413"/>
    </row>
    <row r="995" spans="1:7">
      <c r="A995" s="83"/>
      <c r="B995" s="84"/>
      <c r="C995" s="84"/>
      <c r="D995" s="52"/>
      <c r="E995" s="210"/>
      <c r="F995" s="384"/>
      <c r="G995" s="84"/>
    </row>
    <row r="996" spans="1:7">
      <c r="F996" s="413"/>
    </row>
    <row r="997" spans="1:7">
      <c r="A997" s="50"/>
      <c r="B997" s="50"/>
      <c r="C997" s="50"/>
      <c r="D997" s="52"/>
      <c r="E997" s="211"/>
      <c r="F997" s="273"/>
      <c r="G997" s="50"/>
    </row>
    <row r="998" spans="1:7">
      <c r="F998" s="413"/>
    </row>
    <row r="999" spans="1:7">
      <c r="F999" s="413"/>
    </row>
    <row r="1000" spans="1:7">
      <c r="F1000" s="413"/>
    </row>
    <row r="1001" spans="1:7">
      <c r="F1001" s="413"/>
    </row>
    <row r="1002" spans="1:7">
      <c r="F1002" s="413"/>
    </row>
    <row r="1003" spans="1:7">
      <c r="A1003" s="83"/>
      <c r="B1003" s="85"/>
      <c r="C1003" s="85"/>
      <c r="D1003" s="177"/>
      <c r="E1003" s="212"/>
      <c r="F1003" s="384"/>
      <c r="G1003" s="85"/>
    </row>
    <row r="1004" spans="1:7">
      <c r="F1004" s="413"/>
    </row>
    <row r="1005" spans="1:7">
      <c r="F1005" s="413"/>
    </row>
    <row r="1006" spans="1:7">
      <c r="A1006" s="50"/>
      <c r="B1006" s="50"/>
      <c r="C1006" s="50"/>
      <c r="D1006" s="52"/>
      <c r="E1006" s="211"/>
      <c r="F1006" s="273"/>
      <c r="G1006" s="50"/>
    </row>
    <row r="1007" spans="1:7">
      <c r="A1007" s="50"/>
      <c r="F1007" s="413"/>
    </row>
    <row r="1008" spans="1:7">
      <c r="A1008" s="50"/>
      <c r="B1008" s="50"/>
      <c r="C1008" s="50"/>
      <c r="D1008" s="52"/>
      <c r="E1008" s="211"/>
      <c r="F1008" s="273"/>
      <c r="G1008" s="50"/>
    </row>
    <row r="1009" spans="1:7">
      <c r="F1009" s="413"/>
    </row>
    <row r="1010" spans="1:7">
      <c r="F1010" s="413"/>
    </row>
    <row r="1011" spans="1:7">
      <c r="F1011" s="413"/>
    </row>
    <row r="1012" spans="1:7">
      <c r="F1012" s="413"/>
    </row>
    <row r="1013" spans="1:7">
      <c r="F1013" s="413"/>
    </row>
    <row r="1014" spans="1:7">
      <c r="A1014" s="50"/>
      <c r="B1014" s="84"/>
      <c r="C1014" s="84"/>
      <c r="D1014" s="52"/>
      <c r="E1014" s="210"/>
      <c r="F1014" s="384"/>
      <c r="G1014" s="84"/>
    </row>
    <row r="1015" spans="1:7">
      <c r="F1015" s="413"/>
    </row>
    <row r="1016" spans="1:7">
      <c r="A1016" s="50"/>
      <c r="B1016" s="50"/>
      <c r="C1016" s="50"/>
      <c r="D1016" s="52"/>
      <c r="E1016" s="211"/>
      <c r="F1016" s="273"/>
      <c r="G1016" s="50"/>
    </row>
    <row r="1017" spans="1:7">
      <c r="F1017" s="413"/>
    </row>
    <row r="1018" spans="1:7">
      <c r="F1018" s="413"/>
    </row>
    <row r="1019" spans="1:7">
      <c r="F1019" s="413"/>
    </row>
    <row r="1020" spans="1:7">
      <c r="F1020" s="413"/>
    </row>
    <row r="1021" spans="1:7">
      <c r="A1021" s="83"/>
      <c r="B1021" s="84"/>
      <c r="C1021" s="84"/>
      <c r="D1021" s="52"/>
      <c r="E1021" s="210"/>
      <c r="F1021" s="384"/>
      <c r="G1021" s="84"/>
    </row>
    <row r="1022" spans="1:7">
      <c r="F1022" s="413"/>
    </row>
    <row r="1023" spans="1:7">
      <c r="A1023" s="50"/>
      <c r="B1023" s="50"/>
      <c r="C1023" s="50"/>
      <c r="D1023" s="52"/>
      <c r="E1023" s="211"/>
      <c r="F1023" s="273"/>
      <c r="G1023" s="50"/>
    </row>
    <row r="1024" spans="1:7">
      <c r="F1024" s="413"/>
    </row>
    <row r="1025" spans="1:7">
      <c r="F1025" s="413"/>
    </row>
    <row r="1026" spans="1:7">
      <c r="F1026" s="413"/>
    </row>
    <row r="1027" spans="1:7">
      <c r="F1027" s="413"/>
    </row>
    <row r="1028" spans="1:7">
      <c r="A1028" s="83"/>
      <c r="B1028" s="84"/>
      <c r="C1028" s="84"/>
      <c r="D1028" s="52"/>
      <c r="E1028" s="210"/>
      <c r="F1028" s="384"/>
      <c r="G1028" s="84"/>
    </row>
    <row r="1029" spans="1:7">
      <c r="F1029" s="413"/>
    </row>
    <row r="1030" spans="1:7">
      <c r="A1030" s="50"/>
      <c r="B1030" s="50"/>
      <c r="C1030" s="50"/>
      <c r="D1030" s="52"/>
      <c r="E1030" s="211"/>
      <c r="F1030" s="273"/>
      <c r="G1030" s="50"/>
    </row>
    <row r="1031" spans="1:7">
      <c r="F1031" s="413"/>
    </row>
    <row r="1032" spans="1:7">
      <c r="F1032" s="413"/>
    </row>
    <row r="1033" spans="1:7">
      <c r="F1033" s="413"/>
    </row>
    <row r="1034" spans="1:7">
      <c r="F1034" s="413"/>
    </row>
    <row r="1035" spans="1:7">
      <c r="A1035" s="83"/>
      <c r="B1035" s="84"/>
      <c r="C1035" s="84"/>
      <c r="D1035" s="52"/>
      <c r="E1035" s="210"/>
      <c r="F1035" s="384"/>
      <c r="G1035" s="84"/>
    </row>
    <row r="1036" spans="1:7">
      <c r="F1036" s="413"/>
    </row>
    <row r="1037" spans="1:7">
      <c r="A1037" s="50"/>
      <c r="B1037" s="50"/>
      <c r="C1037" s="50"/>
      <c r="D1037" s="52"/>
      <c r="E1037" s="211"/>
      <c r="F1037" s="273"/>
      <c r="G1037" s="50"/>
    </row>
    <row r="1038" spans="1:7">
      <c r="F1038" s="413"/>
    </row>
    <row r="1039" spans="1:7">
      <c r="F1039" s="413"/>
    </row>
    <row r="1040" spans="1:7">
      <c r="F1040" s="413"/>
    </row>
    <row r="1041" spans="1:7">
      <c r="F1041" s="413"/>
    </row>
    <row r="1042" spans="1:7">
      <c r="F1042" s="413"/>
    </row>
    <row r="1043" spans="1:7">
      <c r="A1043" s="83"/>
      <c r="B1043" s="85"/>
      <c r="C1043" s="85"/>
      <c r="D1043" s="177"/>
      <c r="E1043" s="212"/>
      <c r="F1043" s="384"/>
      <c r="G1043" s="85"/>
    </row>
    <row r="1044" spans="1:7">
      <c r="F1044" s="413"/>
    </row>
    <row r="1045" spans="1:7">
      <c r="F1045" s="413"/>
    </row>
    <row r="1046" spans="1:7">
      <c r="A1046" s="50"/>
      <c r="B1046" s="50"/>
      <c r="C1046" s="50"/>
      <c r="D1046" s="52"/>
      <c r="E1046" s="211"/>
      <c r="F1046" s="273"/>
      <c r="G1046" s="50"/>
    </row>
    <row r="1047" spans="1:7">
      <c r="A1047" s="50"/>
      <c r="F1047" s="413"/>
    </row>
    <row r="1048" spans="1:7">
      <c r="A1048" s="50"/>
      <c r="B1048" s="50"/>
      <c r="C1048" s="50"/>
      <c r="D1048" s="52"/>
      <c r="E1048" s="211"/>
      <c r="F1048" s="273"/>
      <c r="G1048" s="50"/>
    </row>
    <row r="1049" spans="1:7">
      <c r="F1049" s="413"/>
    </row>
    <row r="1050" spans="1:7">
      <c r="F1050" s="413"/>
    </row>
    <row r="1051" spans="1:7">
      <c r="F1051" s="413"/>
    </row>
    <row r="1052" spans="1:7">
      <c r="F1052" s="413"/>
    </row>
    <row r="1053" spans="1:7">
      <c r="F1053" s="413"/>
    </row>
    <row r="1054" spans="1:7">
      <c r="A1054" s="50"/>
      <c r="B1054" s="84"/>
      <c r="C1054" s="84"/>
      <c r="D1054" s="52"/>
      <c r="E1054" s="210"/>
      <c r="F1054" s="384"/>
      <c r="G1054" s="84"/>
    </row>
    <row r="1055" spans="1:7">
      <c r="F1055" s="413"/>
    </row>
    <row r="1056" spans="1:7">
      <c r="A1056" s="50"/>
      <c r="B1056" s="50"/>
      <c r="C1056" s="50"/>
      <c r="D1056" s="52"/>
      <c r="E1056" s="211"/>
      <c r="F1056" s="273"/>
      <c r="G1056" s="50"/>
    </row>
    <row r="1057" spans="1:7">
      <c r="F1057" s="413"/>
    </row>
    <row r="1058" spans="1:7">
      <c r="F1058" s="413"/>
    </row>
    <row r="1059" spans="1:7">
      <c r="F1059" s="413"/>
    </row>
    <row r="1060" spans="1:7">
      <c r="F1060" s="413"/>
    </row>
    <row r="1061" spans="1:7">
      <c r="A1061" s="83"/>
      <c r="B1061" s="84"/>
      <c r="C1061" s="84"/>
      <c r="D1061" s="52"/>
      <c r="E1061" s="210"/>
      <c r="F1061" s="384"/>
      <c r="G1061" s="84"/>
    </row>
    <row r="1062" spans="1:7">
      <c r="F1062" s="413"/>
    </row>
    <row r="1063" spans="1:7">
      <c r="A1063" s="50"/>
      <c r="B1063" s="50"/>
      <c r="C1063" s="50"/>
      <c r="D1063" s="52"/>
      <c r="E1063" s="211"/>
      <c r="F1063" s="273"/>
      <c r="G1063" s="50"/>
    </row>
    <row r="1064" spans="1:7">
      <c r="F1064" s="413"/>
    </row>
    <row r="1065" spans="1:7">
      <c r="F1065" s="413"/>
    </row>
    <row r="1066" spans="1:7">
      <c r="F1066" s="413"/>
    </row>
    <row r="1067" spans="1:7">
      <c r="F1067" s="413"/>
    </row>
    <row r="1068" spans="1:7">
      <c r="A1068" s="83"/>
      <c r="B1068" s="84"/>
      <c r="C1068" s="84"/>
      <c r="D1068" s="52"/>
      <c r="E1068" s="210"/>
      <c r="F1068" s="384"/>
      <c r="G1068" s="84"/>
    </row>
    <row r="1069" spans="1:7">
      <c r="F1069" s="413"/>
    </row>
    <row r="1070" spans="1:7">
      <c r="A1070" s="50"/>
      <c r="B1070" s="50"/>
      <c r="C1070" s="50"/>
      <c r="D1070" s="52"/>
      <c r="E1070" s="211"/>
      <c r="F1070" s="273"/>
      <c r="G1070" s="50"/>
    </row>
    <row r="1071" spans="1:7">
      <c r="F1071" s="413"/>
    </row>
    <row r="1072" spans="1:7">
      <c r="F1072" s="413"/>
    </row>
    <row r="1073" spans="1:7">
      <c r="F1073" s="413"/>
    </row>
    <row r="1074" spans="1:7">
      <c r="F1074" s="413"/>
    </row>
    <row r="1075" spans="1:7">
      <c r="A1075" s="83"/>
      <c r="B1075" s="84"/>
      <c r="C1075" s="84"/>
      <c r="D1075" s="52"/>
      <c r="E1075" s="210"/>
      <c r="F1075" s="384"/>
      <c r="G1075" s="84"/>
    </row>
    <row r="1076" spans="1:7">
      <c r="F1076" s="413"/>
    </row>
    <row r="1077" spans="1:7">
      <c r="A1077" s="50"/>
      <c r="B1077" s="50"/>
      <c r="C1077" s="50"/>
      <c r="D1077" s="52"/>
      <c r="E1077" s="211"/>
      <c r="F1077" s="273"/>
      <c r="G1077" s="50"/>
    </row>
    <row r="1078" spans="1:7">
      <c r="F1078" s="413"/>
    </row>
    <row r="1079" spans="1:7">
      <c r="F1079" s="413"/>
    </row>
    <row r="1080" spans="1:7">
      <c r="F1080" s="413"/>
    </row>
    <row r="1081" spans="1:7">
      <c r="F1081" s="413"/>
    </row>
    <row r="1082" spans="1:7">
      <c r="F1082" s="413"/>
    </row>
    <row r="1083" spans="1:7">
      <c r="A1083" s="83"/>
      <c r="B1083" s="85"/>
      <c r="C1083" s="85"/>
      <c r="D1083" s="177"/>
      <c r="E1083" s="212"/>
      <c r="F1083" s="384"/>
      <c r="G1083" s="85"/>
    </row>
    <row r="1084" spans="1:7">
      <c r="F1084" s="413"/>
    </row>
    <row r="1085" spans="1:7">
      <c r="F1085" s="413"/>
    </row>
    <row r="1086" spans="1:7">
      <c r="A1086" s="50"/>
      <c r="B1086" s="50"/>
      <c r="C1086" s="50"/>
      <c r="D1086" s="52"/>
      <c r="E1086" s="211"/>
      <c r="F1086" s="273"/>
      <c r="G1086" s="50"/>
    </row>
    <row r="1087" spans="1:7">
      <c r="A1087" s="50"/>
      <c r="F1087" s="413"/>
    </row>
    <row r="1088" spans="1:7">
      <c r="A1088" s="50"/>
      <c r="B1088" s="50"/>
      <c r="C1088" s="50"/>
      <c r="D1088" s="52"/>
      <c r="E1088" s="211"/>
      <c r="F1088" s="273"/>
      <c r="G1088" s="50"/>
    </row>
    <row r="1089" spans="1:7">
      <c r="F1089" s="413"/>
    </row>
    <row r="1090" spans="1:7">
      <c r="F1090" s="413"/>
    </row>
    <row r="1091" spans="1:7">
      <c r="F1091" s="413"/>
    </row>
    <row r="1092" spans="1:7">
      <c r="F1092" s="413"/>
    </row>
    <row r="1093" spans="1:7">
      <c r="F1093" s="413"/>
    </row>
    <row r="1094" spans="1:7">
      <c r="A1094" s="50"/>
      <c r="B1094" s="84"/>
      <c r="C1094" s="84"/>
      <c r="D1094" s="52"/>
      <c r="E1094" s="210"/>
      <c r="F1094" s="384"/>
      <c r="G1094" s="84"/>
    </row>
    <row r="1095" spans="1:7">
      <c r="F1095" s="413"/>
    </row>
    <row r="1096" spans="1:7">
      <c r="A1096" s="50"/>
      <c r="B1096" s="50"/>
      <c r="C1096" s="50"/>
      <c r="D1096" s="52"/>
      <c r="E1096" s="211"/>
      <c r="F1096" s="273"/>
      <c r="G1096" s="50"/>
    </row>
    <row r="1097" spans="1:7">
      <c r="F1097" s="413"/>
    </row>
    <row r="1098" spans="1:7">
      <c r="F1098" s="413"/>
    </row>
    <row r="1099" spans="1:7">
      <c r="F1099" s="413"/>
    </row>
    <row r="1100" spans="1:7">
      <c r="F1100" s="413"/>
    </row>
    <row r="1101" spans="1:7">
      <c r="A1101" s="83"/>
      <c r="B1101" s="84"/>
      <c r="C1101" s="84"/>
      <c r="D1101" s="52"/>
      <c r="E1101" s="210"/>
      <c r="F1101" s="384"/>
      <c r="G1101" s="84"/>
    </row>
    <row r="1102" spans="1:7">
      <c r="F1102" s="413"/>
    </row>
    <row r="1103" spans="1:7">
      <c r="A1103" s="50"/>
      <c r="B1103" s="50"/>
      <c r="C1103" s="50"/>
      <c r="D1103" s="52"/>
      <c r="E1103" s="211"/>
      <c r="F1103" s="273"/>
      <c r="G1103" s="50"/>
    </row>
    <row r="1104" spans="1:7">
      <c r="F1104" s="413"/>
    </row>
    <row r="1105" spans="1:7">
      <c r="F1105" s="413"/>
    </row>
    <row r="1106" spans="1:7">
      <c r="F1106" s="413"/>
    </row>
    <row r="1107" spans="1:7">
      <c r="F1107" s="413"/>
    </row>
    <row r="1108" spans="1:7">
      <c r="A1108" s="83"/>
      <c r="B1108" s="84"/>
      <c r="C1108" s="84"/>
      <c r="D1108" s="52"/>
      <c r="E1108" s="210"/>
      <c r="F1108" s="384"/>
      <c r="G1108" s="84"/>
    </row>
    <row r="1109" spans="1:7">
      <c r="F1109" s="413"/>
    </row>
    <row r="1110" spans="1:7">
      <c r="A1110" s="50"/>
      <c r="B1110" s="50"/>
      <c r="C1110" s="50"/>
      <c r="D1110" s="52"/>
      <c r="E1110" s="211"/>
      <c r="F1110" s="273"/>
      <c r="G1110" s="50"/>
    </row>
    <row r="1111" spans="1:7">
      <c r="F1111" s="413"/>
    </row>
    <row r="1112" spans="1:7">
      <c r="F1112" s="413"/>
    </row>
    <row r="1113" spans="1:7">
      <c r="F1113" s="413"/>
    </row>
    <row r="1114" spans="1:7">
      <c r="F1114" s="413"/>
    </row>
    <row r="1115" spans="1:7">
      <c r="A1115" s="83"/>
      <c r="B1115" s="84"/>
      <c r="C1115" s="84"/>
      <c r="D1115" s="52"/>
      <c r="E1115" s="210"/>
      <c r="F1115" s="384"/>
      <c r="G1115" s="84"/>
    </row>
    <row r="1116" spans="1:7">
      <c r="F1116" s="413"/>
    </row>
    <row r="1117" spans="1:7">
      <c r="A1117" s="50"/>
      <c r="B1117" s="50"/>
      <c r="C1117" s="50"/>
      <c r="D1117" s="52"/>
      <c r="E1117" s="211"/>
      <c r="F1117" s="273"/>
      <c r="G1117" s="50"/>
    </row>
    <row r="1118" spans="1:7">
      <c r="F1118" s="413"/>
    </row>
    <row r="1119" spans="1:7">
      <c r="F1119" s="413"/>
    </row>
    <row r="1120" spans="1:7">
      <c r="F1120" s="413"/>
    </row>
    <row r="1121" spans="1:7">
      <c r="F1121" s="413"/>
    </row>
    <row r="1122" spans="1:7">
      <c r="F1122" s="413"/>
    </row>
    <row r="1123" spans="1:7">
      <c r="A1123" s="83"/>
      <c r="B1123" s="85"/>
      <c r="C1123" s="85"/>
      <c r="D1123" s="177"/>
      <c r="E1123" s="212"/>
      <c r="F1123" s="384"/>
      <c r="G1123" s="85"/>
    </row>
    <row r="1124" spans="1:7">
      <c r="F1124" s="413"/>
    </row>
    <row r="1125" spans="1:7">
      <c r="F1125" s="413"/>
    </row>
    <row r="1126" spans="1:7">
      <c r="A1126" s="50"/>
      <c r="B1126" s="50"/>
      <c r="C1126" s="50"/>
      <c r="D1126" s="52"/>
      <c r="E1126" s="211"/>
      <c r="F1126" s="273"/>
      <c r="G1126" s="50"/>
    </row>
    <row r="1127" spans="1:7">
      <c r="A1127" s="50"/>
      <c r="F1127" s="413"/>
    </row>
    <row r="1128" spans="1:7">
      <c r="A1128" s="50"/>
      <c r="B1128" s="50"/>
      <c r="C1128" s="50"/>
      <c r="D1128" s="52"/>
      <c r="E1128" s="211"/>
      <c r="F1128" s="273"/>
      <c r="G1128" s="50"/>
    </row>
    <row r="1129" spans="1:7">
      <c r="F1129" s="413"/>
    </row>
    <row r="1130" spans="1:7">
      <c r="F1130" s="413"/>
    </row>
    <row r="1131" spans="1:7">
      <c r="F1131" s="413"/>
    </row>
    <row r="1132" spans="1:7">
      <c r="F1132" s="413"/>
    </row>
    <row r="1133" spans="1:7">
      <c r="F1133" s="413"/>
    </row>
    <row r="1134" spans="1:7">
      <c r="A1134" s="50"/>
      <c r="B1134" s="84"/>
      <c r="C1134" s="84"/>
      <c r="D1134" s="52"/>
      <c r="E1134" s="210"/>
      <c r="F1134" s="384"/>
      <c r="G1134" s="84"/>
    </row>
    <row r="1135" spans="1:7">
      <c r="F1135" s="413"/>
    </row>
    <row r="1136" spans="1:7">
      <c r="A1136" s="50"/>
      <c r="B1136" s="50"/>
      <c r="C1136" s="50"/>
      <c r="D1136" s="52"/>
      <c r="E1136" s="211"/>
      <c r="F1136" s="273"/>
      <c r="G1136" s="50"/>
    </row>
    <row r="1137" spans="1:7">
      <c r="F1137" s="413"/>
    </row>
    <row r="1138" spans="1:7">
      <c r="F1138" s="413"/>
    </row>
    <row r="1139" spans="1:7">
      <c r="F1139" s="413"/>
    </row>
    <row r="1140" spans="1:7">
      <c r="F1140" s="413"/>
    </row>
    <row r="1141" spans="1:7">
      <c r="A1141" s="83"/>
      <c r="B1141" s="84"/>
      <c r="C1141" s="84"/>
      <c r="D1141" s="52"/>
      <c r="E1141" s="210"/>
      <c r="F1141" s="384"/>
      <c r="G1141" s="84"/>
    </row>
    <row r="1142" spans="1:7">
      <c r="F1142" s="413"/>
    </row>
    <row r="1143" spans="1:7">
      <c r="A1143" s="50"/>
      <c r="B1143" s="50"/>
      <c r="C1143" s="50"/>
      <c r="D1143" s="52"/>
      <c r="E1143" s="211"/>
      <c r="F1143" s="273"/>
      <c r="G1143" s="50"/>
    </row>
    <row r="1144" spans="1:7">
      <c r="F1144" s="413"/>
    </row>
    <row r="1145" spans="1:7">
      <c r="F1145" s="413"/>
    </row>
    <row r="1146" spans="1:7">
      <c r="F1146" s="413"/>
    </row>
    <row r="1147" spans="1:7">
      <c r="F1147" s="413"/>
    </row>
    <row r="1148" spans="1:7">
      <c r="A1148" s="83"/>
      <c r="B1148" s="84"/>
      <c r="C1148" s="84"/>
      <c r="D1148" s="52"/>
      <c r="E1148" s="210"/>
      <c r="F1148" s="384"/>
      <c r="G1148" s="84"/>
    </row>
    <row r="1149" spans="1:7">
      <c r="F1149" s="413"/>
    </row>
    <row r="1150" spans="1:7">
      <c r="A1150" s="50"/>
      <c r="B1150" s="50"/>
      <c r="C1150" s="50"/>
      <c r="D1150" s="52"/>
      <c r="E1150" s="211"/>
      <c r="F1150" s="273"/>
      <c r="G1150" s="50"/>
    </row>
    <row r="1151" spans="1:7">
      <c r="F1151" s="413"/>
    </row>
    <row r="1152" spans="1:7">
      <c r="F1152" s="413"/>
    </row>
    <row r="1153" spans="1:7">
      <c r="F1153" s="413"/>
    </row>
    <row r="1154" spans="1:7">
      <c r="F1154" s="413"/>
    </row>
    <row r="1155" spans="1:7">
      <c r="A1155" s="83"/>
      <c r="B1155" s="84"/>
      <c r="C1155" s="84"/>
      <c r="D1155" s="52"/>
      <c r="E1155" s="210"/>
      <c r="F1155" s="384"/>
      <c r="G1155" s="84"/>
    </row>
    <row r="1156" spans="1:7">
      <c r="F1156" s="413"/>
    </row>
    <row r="1157" spans="1:7">
      <c r="A1157" s="50"/>
      <c r="B1157" s="50"/>
      <c r="C1157" s="50"/>
      <c r="D1157" s="52"/>
      <c r="E1157" s="211"/>
      <c r="F1157" s="273"/>
      <c r="G1157" s="50"/>
    </row>
    <row r="1158" spans="1:7">
      <c r="F1158" s="413"/>
    </row>
    <row r="1159" spans="1:7">
      <c r="F1159" s="413"/>
    </row>
    <row r="1160" spans="1:7">
      <c r="F1160" s="413"/>
    </row>
    <row r="1161" spans="1:7">
      <c r="F1161" s="413"/>
    </row>
    <row r="1162" spans="1:7">
      <c r="F1162" s="413"/>
    </row>
    <row r="1163" spans="1:7">
      <c r="A1163" s="83"/>
      <c r="B1163" s="85"/>
      <c r="C1163" s="85"/>
      <c r="D1163" s="177"/>
      <c r="E1163" s="212"/>
      <c r="F1163" s="384"/>
      <c r="G1163" s="85"/>
    </row>
    <row r="1164" spans="1:7">
      <c r="F1164" s="413"/>
    </row>
    <row r="1165" spans="1:7">
      <c r="F1165" s="413"/>
    </row>
    <row r="1166" spans="1:7">
      <c r="A1166" s="50"/>
      <c r="B1166" s="50"/>
      <c r="C1166" s="50"/>
      <c r="D1166" s="52"/>
      <c r="E1166" s="211"/>
      <c r="F1166" s="273"/>
      <c r="G1166" s="50"/>
    </row>
    <row r="1167" spans="1:7">
      <c r="A1167" s="50"/>
      <c r="F1167" s="413"/>
    </row>
    <row r="1168" spans="1:7">
      <c r="A1168" s="50"/>
      <c r="B1168" s="50"/>
      <c r="C1168" s="50"/>
      <c r="D1168" s="52"/>
      <c r="E1168" s="211"/>
      <c r="F1168" s="273"/>
      <c r="G1168" s="50"/>
    </row>
    <row r="1169" spans="1:7">
      <c r="F1169" s="413"/>
    </row>
    <row r="1170" spans="1:7">
      <c r="F1170" s="413"/>
    </row>
    <row r="1171" spans="1:7">
      <c r="F1171" s="413"/>
    </row>
    <row r="1172" spans="1:7">
      <c r="F1172" s="413"/>
    </row>
    <row r="1173" spans="1:7">
      <c r="F1173" s="413"/>
    </row>
    <row r="1174" spans="1:7">
      <c r="A1174" s="50"/>
      <c r="B1174" s="84"/>
      <c r="C1174" s="84"/>
      <c r="D1174" s="52"/>
      <c r="E1174" s="210"/>
      <c r="F1174" s="384"/>
      <c r="G1174" s="84"/>
    </row>
    <row r="1175" spans="1:7">
      <c r="F1175" s="413"/>
    </row>
    <row r="1176" spans="1:7">
      <c r="A1176" s="50"/>
      <c r="B1176" s="50"/>
      <c r="C1176" s="50"/>
      <c r="D1176" s="52"/>
      <c r="E1176" s="211"/>
      <c r="F1176" s="273"/>
      <c r="G1176" s="50"/>
    </row>
    <row r="1177" spans="1:7">
      <c r="F1177" s="413"/>
    </row>
    <row r="1178" spans="1:7">
      <c r="F1178" s="413"/>
    </row>
    <row r="1179" spans="1:7">
      <c r="F1179" s="413"/>
    </row>
    <row r="1180" spans="1:7">
      <c r="F1180" s="413"/>
    </row>
    <row r="1181" spans="1:7">
      <c r="A1181" s="83"/>
      <c r="B1181" s="84"/>
      <c r="C1181" s="84"/>
      <c r="D1181" s="52"/>
      <c r="E1181" s="210"/>
      <c r="F1181" s="384"/>
      <c r="G1181" s="84"/>
    </row>
    <row r="1182" spans="1:7">
      <c r="F1182" s="413"/>
    </row>
    <row r="1183" spans="1:7">
      <c r="A1183" s="50"/>
      <c r="B1183" s="50"/>
      <c r="C1183" s="50"/>
      <c r="D1183" s="52"/>
      <c r="E1183" s="211"/>
      <c r="F1183" s="273"/>
      <c r="G1183" s="50"/>
    </row>
    <row r="1184" spans="1:7">
      <c r="F1184" s="413"/>
    </row>
    <row r="1185" spans="1:7">
      <c r="F1185" s="413"/>
    </row>
    <row r="1186" spans="1:7">
      <c r="F1186" s="413"/>
    </row>
    <row r="1187" spans="1:7">
      <c r="F1187" s="413"/>
    </row>
    <row r="1188" spans="1:7">
      <c r="A1188" s="83"/>
      <c r="B1188" s="84"/>
      <c r="C1188" s="84"/>
      <c r="D1188" s="52"/>
      <c r="E1188" s="210"/>
      <c r="F1188" s="384"/>
      <c r="G1188" s="84"/>
    </row>
    <row r="1189" spans="1:7">
      <c r="F1189" s="413"/>
    </row>
    <row r="1190" spans="1:7">
      <c r="A1190" s="50"/>
      <c r="B1190" s="50"/>
      <c r="C1190" s="50"/>
      <c r="D1190" s="52"/>
      <c r="E1190" s="211"/>
      <c r="F1190" s="273"/>
      <c r="G1190" s="50"/>
    </row>
    <row r="1191" spans="1:7">
      <c r="F1191" s="413"/>
    </row>
    <row r="1192" spans="1:7">
      <c r="F1192" s="413"/>
    </row>
    <row r="1193" spans="1:7">
      <c r="F1193" s="413"/>
    </row>
    <row r="1194" spans="1:7">
      <c r="F1194" s="413"/>
    </row>
    <row r="1195" spans="1:7">
      <c r="A1195" s="83"/>
      <c r="B1195" s="84"/>
      <c r="C1195" s="84"/>
      <c r="D1195" s="52"/>
      <c r="E1195" s="210"/>
      <c r="F1195" s="384"/>
      <c r="G1195" s="84"/>
    </row>
    <row r="1196" spans="1:7">
      <c r="F1196" s="413"/>
    </row>
    <row r="1197" spans="1:7">
      <c r="A1197" s="50"/>
      <c r="B1197" s="50"/>
      <c r="C1197" s="50"/>
      <c r="D1197" s="52"/>
      <c r="E1197" s="211"/>
      <c r="F1197" s="273"/>
      <c r="G1197" s="50"/>
    </row>
    <row r="1198" spans="1:7">
      <c r="F1198" s="413"/>
    </row>
    <row r="1199" spans="1:7">
      <c r="F1199" s="413"/>
    </row>
    <row r="1200" spans="1:7">
      <c r="F1200" s="413"/>
    </row>
    <row r="1201" spans="1:7">
      <c r="F1201" s="413"/>
    </row>
    <row r="1202" spans="1:7">
      <c r="F1202" s="413"/>
    </row>
    <row r="1203" spans="1:7">
      <c r="A1203" s="83"/>
      <c r="B1203" s="85"/>
      <c r="C1203" s="85"/>
      <c r="D1203" s="177"/>
      <c r="E1203" s="212"/>
      <c r="F1203" s="384"/>
      <c r="G1203" s="85"/>
    </row>
    <row r="1204" spans="1:7">
      <c r="F1204" s="413"/>
    </row>
    <row r="1205" spans="1:7">
      <c r="F1205" s="413"/>
    </row>
    <row r="1206" spans="1:7">
      <c r="A1206" s="50"/>
      <c r="B1206" s="50"/>
      <c r="C1206" s="50"/>
      <c r="D1206" s="52"/>
      <c r="E1206" s="211"/>
      <c r="F1206" s="273"/>
      <c r="G1206" s="50"/>
    </row>
    <row r="1207" spans="1:7">
      <c r="A1207" s="50"/>
      <c r="F1207" s="413"/>
    </row>
    <row r="1208" spans="1:7">
      <c r="A1208" s="50"/>
      <c r="B1208" s="50"/>
      <c r="C1208" s="50"/>
      <c r="D1208" s="52"/>
      <c r="E1208" s="211"/>
      <c r="F1208" s="273"/>
      <c r="G1208" s="50"/>
    </row>
    <row r="1209" spans="1:7">
      <c r="F1209" s="413"/>
    </row>
    <row r="1210" spans="1:7">
      <c r="F1210" s="413"/>
    </row>
    <row r="1211" spans="1:7">
      <c r="F1211" s="413"/>
    </row>
    <row r="1212" spans="1:7">
      <c r="F1212" s="413"/>
    </row>
    <row r="1213" spans="1:7">
      <c r="F1213" s="413"/>
    </row>
    <row r="1214" spans="1:7">
      <c r="A1214" s="50"/>
      <c r="B1214" s="84"/>
      <c r="C1214" s="84"/>
      <c r="D1214" s="52"/>
      <c r="E1214" s="210"/>
      <c r="F1214" s="384"/>
      <c r="G1214" s="84"/>
    </row>
    <row r="1215" spans="1:7">
      <c r="F1215" s="413"/>
    </row>
    <row r="1216" spans="1:7">
      <c r="A1216" s="50"/>
      <c r="B1216" s="50"/>
      <c r="C1216" s="50"/>
      <c r="D1216" s="52"/>
      <c r="E1216" s="211"/>
      <c r="F1216" s="273"/>
      <c r="G1216" s="50"/>
    </row>
    <row r="1217" spans="1:7">
      <c r="F1217" s="413"/>
    </row>
    <row r="1218" spans="1:7">
      <c r="F1218" s="413"/>
    </row>
    <row r="1219" spans="1:7">
      <c r="F1219" s="413"/>
    </row>
    <row r="1220" spans="1:7">
      <c r="F1220" s="413"/>
    </row>
    <row r="1221" spans="1:7">
      <c r="A1221" s="83"/>
      <c r="B1221" s="84"/>
      <c r="C1221" s="84"/>
      <c r="D1221" s="52"/>
      <c r="E1221" s="210"/>
      <c r="F1221" s="384"/>
      <c r="G1221" s="84"/>
    </row>
    <row r="1222" spans="1:7">
      <c r="F1222" s="413"/>
    </row>
    <row r="1223" spans="1:7">
      <c r="A1223" s="50"/>
      <c r="B1223" s="50"/>
      <c r="C1223" s="50"/>
      <c r="D1223" s="52"/>
      <c r="E1223" s="211"/>
      <c r="F1223" s="273"/>
      <c r="G1223" s="50"/>
    </row>
    <row r="1224" spans="1:7">
      <c r="F1224" s="413"/>
    </row>
    <row r="1225" spans="1:7">
      <c r="F1225" s="413"/>
    </row>
    <row r="1226" spans="1:7">
      <c r="F1226" s="413"/>
    </row>
    <row r="1227" spans="1:7">
      <c r="F1227" s="413"/>
    </row>
    <row r="1228" spans="1:7">
      <c r="A1228" s="83"/>
      <c r="B1228" s="84"/>
      <c r="C1228" s="84"/>
      <c r="D1228" s="52"/>
      <c r="E1228" s="210"/>
      <c r="F1228" s="384"/>
      <c r="G1228" s="84"/>
    </row>
    <row r="1229" spans="1:7">
      <c r="F1229" s="413"/>
    </row>
    <row r="1230" spans="1:7">
      <c r="A1230" s="50"/>
      <c r="B1230" s="50"/>
      <c r="C1230" s="50"/>
      <c r="D1230" s="52"/>
      <c r="E1230" s="211"/>
      <c r="F1230" s="273"/>
      <c r="G1230" s="50"/>
    </row>
    <row r="1231" spans="1:7">
      <c r="F1231" s="413"/>
    </row>
    <row r="1232" spans="1:7">
      <c r="F1232" s="413"/>
    </row>
    <row r="1233" spans="1:7">
      <c r="F1233" s="413"/>
    </row>
    <row r="1234" spans="1:7">
      <c r="F1234" s="413"/>
    </row>
    <row r="1235" spans="1:7">
      <c r="A1235" s="83"/>
      <c r="B1235" s="84"/>
      <c r="C1235" s="84"/>
      <c r="D1235" s="52"/>
      <c r="E1235" s="210"/>
      <c r="F1235" s="384"/>
      <c r="G1235" s="84"/>
    </row>
    <row r="1236" spans="1:7">
      <c r="F1236" s="413"/>
    </row>
    <row r="1237" spans="1:7">
      <c r="A1237" s="50"/>
      <c r="B1237" s="50"/>
      <c r="C1237" s="50"/>
      <c r="D1237" s="52"/>
      <c r="E1237" s="211"/>
      <c r="F1237" s="273"/>
      <c r="G1237" s="50"/>
    </row>
    <row r="1238" spans="1:7">
      <c r="F1238" s="413"/>
    </row>
    <row r="1239" spans="1:7">
      <c r="F1239" s="413"/>
    </row>
    <row r="1240" spans="1:7">
      <c r="F1240" s="413"/>
    </row>
    <row r="1241" spans="1:7">
      <c r="F1241" s="413"/>
    </row>
    <row r="1242" spans="1:7">
      <c r="F1242" s="413"/>
    </row>
    <row r="1243" spans="1:7">
      <c r="A1243" s="83"/>
      <c r="B1243" s="85"/>
      <c r="C1243" s="85"/>
      <c r="D1243" s="177"/>
      <c r="E1243" s="212"/>
      <c r="F1243" s="384"/>
      <c r="G1243" s="85"/>
    </row>
    <row r="1244" spans="1:7">
      <c r="F1244" s="413"/>
    </row>
    <row r="1245" spans="1:7">
      <c r="F1245" s="413"/>
    </row>
    <row r="1246" spans="1:7">
      <c r="A1246" s="50"/>
      <c r="B1246" s="50"/>
      <c r="C1246" s="50"/>
      <c r="D1246" s="52"/>
      <c r="E1246" s="211"/>
      <c r="F1246" s="273"/>
      <c r="G1246" s="50"/>
    </row>
    <row r="1247" spans="1:7">
      <c r="A1247" s="50"/>
      <c r="F1247" s="413"/>
    </row>
    <row r="1248" spans="1:7">
      <c r="A1248" s="50"/>
      <c r="B1248" s="50"/>
      <c r="C1248" s="50"/>
      <c r="D1248" s="52"/>
      <c r="E1248" s="211"/>
      <c r="F1248" s="273"/>
      <c r="G1248" s="50"/>
    </row>
    <row r="1249" spans="1:7">
      <c r="F1249" s="413"/>
    </row>
    <row r="1250" spans="1:7">
      <c r="F1250" s="413"/>
    </row>
    <row r="1251" spans="1:7">
      <c r="F1251" s="413"/>
    </row>
    <row r="1252" spans="1:7">
      <c r="F1252" s="413"/>
    </row>
    <row r="1253" spans="1:7">
      <c r="F1253" s="413"/>
    </row>
    <row r="1254" spans="1:7">
      <c r="A1254" s="50"/>
      <c r="B1254" s="84"/>
      <c r="C1254" s="84"/>
      <c r="D1254" s="52"/>
      <c r="E1254" s="210"/>
      <c r="F1254" s="384"/>
      <c r="G1254" s="84"/>
    </row>
    <row r="1255" spans="1:7">
      <c r="F1255" s="413"/>
    </row>
    <row r="1256" spans="1:7">
      <c r="A1256" s="50"/>
      <c r="B1256" s="50"/>
      <c r="C1256" s="50"/>
      <c r="D1256" s="52"/>
      <c r="E1256" s="211"/>
      <c r="F1256" s="273"/>
      <c r="G1256" s="50"/>
    </row>
    <row r="1257" spans="1:7">
      <c r="F1257" s="413"/>
    </row>
    <row r="1258" spans="1:7">
      <c r="F1258" s="413"/>
    </row>
    <row r="1259" spans="1:7">
      <c r="F1259" s="413"/>
    </row>
    <row r="1260" spans="1:7">
      <c r="F1260" s="413"/>
    </row>
    <row r="1261" spans="1:7">
      <c r="A1261" s="83"/>
      <c r="B1261" s="84"/>
      <c r="C1261" s="84"/>
      <c r="D1261" s="52"/>
      <c r="E1261" s="210"/>
      <c r="F1261" s="384"/>
      <c r="G1261" s="84"/>
    </row>
    <row r="1262" spans="1:7">
      <c r="F1262" s="413"/>
    </row>
    <row r="1263" spans="1:7">
      <c r="A1263" s="50"/>
      <c r="B1263" s="50"/>
      <c r="C1263" s="50"/>
      <c r="D1263" s="52"/>
      <c r="E1263" s="211"/>
      <c r="F1263" s="273"/>
      <c r="G1263" s="50"/>
    </row>
    <row r="1264" spans="1:7">
      <c r="F1264" s="413"/>
    </row>
    <row r="1265" spans="1:7">
      <c r="F1265" s="413"/>
    </row>
    <row r="1266" spans="1:7">
      <c r="F1266" s="413"/>
    </row>
    <row r="1267" spans="1:7">
      <c r="F1267" s="413"/>
    </row>
    <row r="1268" spans="1:7">
      <c r="A1268" s="83"/>
      <c r="B1268" s="84"/>
      <c r="C1268" s="84"/>
      <c r="D1268" s="52"/>
      <c r="E1268" s="210"/>
      <c r="F1268" s="384"/>
      <c r="G1268" s="84"/>
    </row>
    <row r="1269" spans="1:7">
      <c r="F1269" s="413"/>
    </row>
    <row r="1270" spans="1:7">
      <c r="A1270" s="50"/>
      <c r="B1270" s="50"/>
      <c r="C1270" s="50"/>
      <c r="D1270" s="52"/>
      <c r="E1270" s="211"/>
      <c r="F1270" s="273"/>
      <c r="G1270" s="50"/>
    </row>
    <row r="1271" spans="1:7">
      <c r="F1271" s="413"/>
    </row>
    <row r="1272" spans="1:7">
      <c r="F1272" s="413"/>
    </row>
    <row r="1273" spans="1:7">
      <c r="F1273" s="413"/>
    </row>
    <row r="1274" spans="1:7">
      <c r="F1274" s="413"/>
    </row>
    <row r="1275" spans="1:7">
      <c r="A1275" s="83"/>
      <c r="B1275" s="84"/>
      <c r="C1275" s="84"/>
      <c r="D1275" s="52"/>
      <c r="E1275" s="210"/>
      <c r="F1275" s="384"/>
      <c r="G1275" s="84"/>
    </row>
    <row r="1276" spans="1:7">
      <c r="F1276" s="413"/>
    </row>
    <row r="1277" spans="1:7">
      <c r="A1277" s="50"/>
      <c r="B1277" s="50"/>
      <c r="C1277" s="50"/>
      <c r="D1277" s="52"/>
      <c r="E1277" s="211"/>
      <c r="F1277" s="273"/>
      <c r="G1277" s="50"/>
    </row>
    <row r="1278" spans="1:7">
      <c r="F1278" s="413"/>
    </row>
    <row r="1279" spans="1:7">
      <c r="F1279" s="413"/>
    </row>
    <row r="1280" spans="1:7">
      <c r="F1280" s="413"/>
    </row>
    <row r="1281" spans="1:7">
      <c r="F1281" s="413"/>
    </row>
    <row r="1282" spans="1:7">
      <c r="F1282" s="413"/>
    </row>
    <row r="1283" spans="1:7">
      <c r="A1283" s="83"/>
      <c r="B1283" s="85"/>
      <c r="C1283" s="85"/>
      <c r="D1283" s="177"/>
      <c r="E1283" s="212"/>
      <c r="F1283" s="384"/>
      <c r="G1283" s="85"/>
    </row>
    <row r="1284" spans="1:7">
      <c r="F1284" s="413"/>
    </row>
    <row r="1285" spans="1:7">
      <c r="F1285" s="413"/>
    </row>
    <row r="1286" spans="1:7">
      <c r="A1286" s="50"/>
      <c r="B1286" s="50"/>
      <c r="C1286" s="50"/>
      <c r="D1286" s="52"/>
      <c r="E1286" s="211"/>
      <c r="F1286" s="273"/>
      <c r="G1286" s="50"/>
    </row>
    <row r="1287" spans="1:7">
      <c r="A1287" s="50"/>
      <c r="F1287" s="413"/>
    </row>
    <row r="1288" spans="1:7">
      <c r="A1288" s="50"/>
      <c r="B1288" s="50"/>
      <c r="C1288" s="50"/>
      <c r="D1288" s="52"/>
      <c r="E1288" s="211"/>
      <c r="F1288" s="273"/>
      <c r="G1288" s="50"/>
    </row>
    <row r="1289" spans="1:7">
      <c r="F1289" s="413"/>
    </row>
    <row r="1290" spans="1:7">
      <c r="F1290" s="413"/>
    </row>
    <row r="1291" spans="1:7">
      <c r="F1291" s="413"/>
    </row>
    <row r="1292" spans="1:7">
      <c r="F1292" s="413"/>
    </row>
    <row r="1293" spans="1:7">
      <c r="F1293" s="413"/>
    </row>
    <row r="1294" spans="1:7">
      <c r="A1294" s="50"/>
      <c r="B1294" s="84"/>
      <c r="C1294" s="84"/>
      <c r="D1294" s="52"/>
      <c r="E1294" s="210"/>
      <c r="F1294" s="384"/>
      <c r="G1294" s="84"/>
    </row>
    <row r="1295" spans="1:7">
      <c r="F1295" s="413"/>
    </row>
    <row r="1296" spans="1:7">
      <c r="A1296" s="50"/>
      <c r="B1296" s="50"/>
      <c r="C1296" s="50"/>
      <c r="D1296" s="52"/>
      <c r="E1296" s="211"/>
      <c r="F1296" s="273"/>
      <c r="G1296" s="50"/>
    </row>
    <row r="1297" spans="1:7">
      <c r="F1297" s="413"/>
    </row>
    <row r="1298" spans="1:7">
      <c r="F1298" s="413"/>
    </row>
    <row r="1299" spans="1:7">
      <c r="F1299" s="413"/>
    </row>
    <row r="1300" spans="1:7">
      <c r="F1300" s="413"/>
    </row>
    <row r="1301" spans="1:7">
      <c r="A1301" s="83"/>
      <c r="B1301" s="84"/>
      <c r="C1301" s="84"/>
      <c r="D1301" s="52"/>
      <c r="E1301" s="210"/>
      <c r="F1301" s="384"/>
      <c r="G1301" s="84"/>
    </row>
    <row r="1302" spans="1:7">
      <c r="F1302" s="413"/>
    </row>
    <row r="1303" spans="1:7">
      <c r="A1303" s="50"/>
      <c r="B1303" s="50"/>
      <c r="C1303" s="50"/>
      <c r="D1303" s="52"/>
      <c r="E1303" s="211"/>
      <c r="F1303" s="273"/>
      <c r="G1303" s="50"/>
    </row>
    <row r="1304" spans="1:7">
      <c r="F1304" s="413"/>
    </row>
    <row r="1305" spans="1:7">
      <c r="F1305" s="413"/>
    </row>
    <row r="1306" spans="1:7">
      <c r="F1306" s="413"/>
    </row>
    <row r="1307" spans="1:7">
      <c r="F1307" s="413"/>
    </row>
    <row r="1308" spans="1:7">
      <c r="A1308" s="83"/>
      <c r="B1308" s="84"/>
      <c r="C1308" s="84"/>
      <c r="D1308" s="52"/>
      <c r="E1308" s="210"/>
      <c r="F1308" s="384"/>
      <c r="G1308" s="84"/>
    </row>
    <row r="1309" spans="1:7">
      <c r="F1309" s="413"/>
    </row>
    <row r="1310" spans="1:7">
      <c r="A1310" s="50"/>
      <c r="B1310" s="50"/>
      <c r="C1310" s="50"/>
      <c r="D1310" s="52"/>
      <c r="E1310" s="211"/>
      <c r="F1310" s="273"/>
      <c r="G1310" s="50"/>
    </row>
    <row r="1311" spans="1:7">
      <c r="F1311" s="413"/>
    </row>
    <row r="1312" spans="1:7">
      <c r="F1312" s="413"/>
    </row>
    <row r="1313" spans="1:7">
      <c r="F1313" s="413"/>
    </row>
    <row r="1314" spans="1:7">
      <c r="F1314" s="413"/>
    </row>
    <row r="1315" spans="1:7">
      <c r="A1315" s="83"/>
      <c r="B1315" s="84"/>
      <c r="C1315" s="84"/>
      <c r="D1315" s="52"/>
      <c r="E1315" s="210"/>
      <c r="F1315" s="384"/>
      <c r="G1315" s="84"/>
    </row>
    <row r="1316" spans="1:7">
      <c r="F1316" s="413"/>
    </row>
    <row r="1317" spans="1:7">
      <c r="A1317" s="50"/>
      <c r="B1317" s="50"/>
      <c r="C1317" s="50"/>
      <c r="D1317" s="52"/>
      <c r="E1317" s="211"/>
      <c r="F1317" s="273"/>
      <c r="G1317" s="50"/>
    </row>
    <row r="1318" spans="1:7">
      <c r="F1318" s="413"/>
    </row>
    <row r="1319" spans="1:7">
      <c r="F1319" s="413"/>
    </row>
    <row r="1320" spans="1:7">
      <c r="F1320" s="413"/>
    </row>
    <row r="1321" spans="1:7">
      <c r="F1321" s="413"/>
    </row>
    <row r="1322" spans="1:7">
      <c r="F1322" s="413"/>
    </row>
    <row r="1323" spans="1:7">
      <c r="A1323" s="83"/>
      <c r="B1323" s="85"/>
      <c r="C1323" s="85"/>
      <c r="D1323" s="177"/>
      <c r="E1323" s="212"/>
      <c r="F1323" s="384"/>
      <c r="G1323" s="85"/>
    </row>
    <row r="1324" spans="1:7">
      <c r="F1324" s="413"/>
    </row>
    <row r="1325" spans="1:7">
      <c r="F1325" s="413"/>
    </row>
    <row r="1326" spans="1:7">
      <c r="A1326" s="50"/>
      <c r="B1326" s="50"/>
      <c r="C1326" s="50"/>
      <c r="D1326" s="52"/>
      <c r="E1326" s="211"/>
      <c r="F1326" s="273"/>
      <c r="G1326" s="50"/>
    </row>
    <row r="1327" spans="1:7">
      <c r="A1327" s="50"/>
      <c r="F1327" s="413"/>
    </row>
    <row r="1328" spans="1:7">
      <c r="A1328" s="50"/>
      <c r="B1328" s="50"/>
      <c r="C1328" s="50"/>
      <c r="D1328" s="52"/>
      <c r="E1328" s="211"/>
      <c r="F1328" s="273"/>
      <c r="G1328" s="50"/>
    </row>
    <row r="1329" spans="1:7">
      <c r="F1329" s="413"/>
    </row>
    <row r="1330" spans="1:7">
      <c r="F1330" s="413"/>
    </row>
    <row r="1331" spans="1:7">
      <c r="F1331" s="413"/>
    </row>
    <row r="1332" spans="1:7">
      <c r="F1332" s="413"/>
    </row>
    <row r="1333" spans="1:7">
      <c r="F1333" s="413"/>
    </row>
    <row r="1334" spans="1:7">
      <c r="A1334" s="50"/>
      <c r="B1334" s="84"/>
      <c r="C1334" s="84"/>
      <c r="D1334" s="52"/>
      <c r="E1334" s="210"/>
      <c r="F1334" s="384"/>
      <c r="G1334" s="84"/>
    </row>
    <row r="1335" spans="1:7">
      <c r="F1335" s="413"/>
    </row>
    <row r="1336" spans="1:7">
      <c r="A1336" s="50"/>
      <c r="B1336" s="50"/>
      <c r="C1336" s="50"/>
      <c r="D1336" s="52"/>
      <c r="E1336" s="211"/>
      <c r="F1336" s="273"/>
      <c r="G1336" s="50"/>
    </row>
    <row r="1337" spans="1:7">
      <c r="F1337" s="413"/>
    </row>
    <row r="1338" spans="1:7">
      <c r="F1338" s="413"/>
    </row>
    <row r="1339" spans="1:7">
      <c r="F1339" s="413"/>
    </row>
    <row r="1340" spans="1:7">
      <c r="F1340" s="413"/>
    </row>
    <row r="1341" spans="1:7">
      <c r="A1341" s="83"/>
      <c r="B1341" s="84"/>
      <c r="C1341" s="84"/>
      <c r="D1341" s="52"/>
      <c r="E1341" s="210"/>
      <c r="F1341" s="384"/>
      <c r="G1341" s="84"/>
    </row>
    <row r="1342" spans="1:7">
      <c r="F1342" s="413"/>
    </row>
    <row r="1343" spans="1:7">
      <c r="A1343" s="50"/>
      <c r="B1343" s="50"/>
      <c r="C1343" s="50"/>
      <c r="D1343" s="52"/>
      <c r="E1343" s="211"/>
      <c r="F1343" s="273"/>
      <c r="G1343" s="50"/>
    </row>
    <row r="1344" spans="1:7">
      <c r="F1344" s="413"/>
    </row>
    <row r="1345" spans="1:7">
      <c r="F1345" s="413"/>
    </row>
    <row r="1346" spans="1:7">
      <c r="F1346" s="413"/>
    </row>
    <row r="1347" spans="1:7">
      <c r="F1347" s="413"/>
    </row>
    <row r="1348" spans="1:7">
      <c r="A1348" s="83"/>
      <c r="B1348" s="84"/>
      <c r="C1348" s="84"/>
      <c r="D1348" s="52"/>
      <c r="E1348" s="210"/>
      <c r="F1348" s="384"/>
      <c r="G1348" s="84"/>
    </row>
    <row r="1349" spans="1:7">
      <c r="F1349" s="413"/>
    </row>
    <row r="1350" spans="1:7">
      <c r="A1350" s="50"/>
      <c r="B1350" s="50"/>
      <c r="C1350" s="50"/>
      <c r="D1350" s="52"/>
      <c r="E1350" s="211"/>
      <c r="F1350" s="273"/>
      <c r="G1350" s="50"/>
    </row>
    <row r="1351" spans="1:7">
      <c r="F1351" s="413"/>
    </row>
    <row r="1352" spans="1:7">
      <c r="F1352" s="413"/>
    </row>
    <row r="1353" spans="1:7">
      <c r="F1353" s="413"/>
    </row>
    <row r="1354" spans="1:7">
      <c r="F1354" s="413"/>
    </row>
    <row r="1355" spans="1:7">
      <c r="A1355" s="83"/>
      <c r="B1355" s="84"/>
      <c r="C1355" s="84"/>
      <c r="D1355" s="52"/>
      <c r="E1355" s="210"/>
      <c r="F1355" s="384"/>
      <c r="G1355" s="84"/>
    </row>
    <row r="1356" spans="1:7">
      <c r="F1356" s="413"/>
    </row>
    <row r="1357" spans="1:7">
      <c r="A1357" s="50"/>
      <c r="B1357" s="50"/>
      <c r="C1357" s="50"/>
      <c r="D1357" s="52"/>
      <c r="E1357" s="211"/>
      <c r="F1357" s="273"/>
      <c r="G1357" s="50"/>
    </row>
    <row r="1358" spans="1:7">
      <c r="F1358" s="413"/>
    </row>
    <row r="1359" spans="1:7">
      <c r="F1359" s="413"/>
    </row>
    <row r="1360" spans="1:7">
      <c r="F1360" s="413"/>
    </row>
    <row r="1361" spans="1:7">
      <c r="F1361" s="413"/>
    </row>
    <row r="1362" spans="1:7">
      <c r="F1362" s="413"/>
    </row>
    <row r="1363" spans="1:7">
      <c r="A1363" s="83"/>
      <c r="B1363" s="85"/>
      <c r="C1363" s="85"/>
      <c r="D1363" s="177"/>
      <c r="E1363" s="212"/>
      <c r="F1363" s="384"/>
      <c r="G1363" s="85"/>
    </row>
    <row r="1364" spans="1:7">
      <c r="F1364" s="413"/>
    </row>
    <row r="1365" spans="1:7">
      <c r="F1365" s="413"/>
    </row>
    <row r="1366" spans="1:7">
      <c r="A1366" s="50"/>
      <c r="B1366" s="50"/>
      <c r="C1366" s="50"/>
      <c r="D1366" s="52"/>
      <c r="E1366" s="211"/>
      <c r="F1366" s="273"/>
      <c r="G1366" s="50"/>
    </row>
    <row r="1367" spans="1:7">
      <c r="A1367" s="50"/>
      <c r="F1367" s="413"/>
    </row>
    <row r="1368" spans="1:7">
      <c r="A1368" s="50"/>
      <c r="B1368" s="50"/>
      <c r="C1368" s="50"/>
      <c r="D1368" s="52"/>
      <c r="E1368" s="211"/>
      <c r="F1368" s="273"/>
      <c r="G1368" s="50"/>
    </row>
    <row r="1369" spans="1:7">
      <c r="F1369" s="413"/>
    </row>
    <row r="1370" spans="1:7">
      <c r="F1370" s="413"/>
    </row>
    <row r="1371" spans="1:7">
      <c r="F1371" s="413"/>
    </row>
    <row r="1372" spans="1:7">
      <c r="F1372" s="413"/>
    </row>
    <row r="1373" spans="1:7">
      <c r="F1373" s="413"/>
    </row>
    <row r="1374" spans="1:7">
      <c r="A1374" s="50"/>
      <c r="B1374" s="84"/>
      <c r="C1374" s="84"/>
      <c r="D1374" s="52"/>
      <c r="E1374" s="210"/>
      <c r="F1374" s="384"/>
      <c r="G1374" s="84"/>
    </row>
    <row r="1375" spans="1:7">
      <c r="F1375" s="413"/>
    </row>
    <row r="1376" spans="1:7">
      <c r="A1376" s="50"/>
      <c r="B1376" s="50"/>
      <c r="C1376" s="50"/>
      <c r="D1376" s="52"/>
      <c r="E1376" s="211"/>
      <c r="F1376" s="273"/>
      <c r="G1376" s="50"/>
    </row>
    <row r="1377" spans="1:7">
      <c r="F1377" s="413"/>
    </row>
    <row r="1378" spans="1:7">
      <c r="F1378" s="413"/>
    </row>
    <row r="1379" spans="1:7">
      <c r="F1379" s="413"/>
    </row>
    <row r="1380" spans="1:7">
      <c r="F1380" s="413"/>
    </row>
    <row r="1381" spans="1:7">
      <c r="A1381" s="83"/>
      <c r="B1381" s="84"/>
      <c r="C1381" s="84"/>
      <c r="D1381" s="52"/>
      <c r="E1381" s="210"/>
      <c r="F1381" s="384"/>
      <c r="G1381" s="84"/>
    </row>
    <row r="1382" spans="1:7">
      <c r="F1382" s="413"/>
    </row>
    <row r="1383" spans="1:7">
      <c r="A1383" s="50"/>
      <c r="B1383" s="50"/>
      <c r="C1383" s="50"/>
      <c r="D1383" s="52"/>
      <c r="E1383" s="211"/>
      <c r="F1383" s="273"/>
      <c r="G1383" s="50"/>
    </row>
    <row r="1384" spans="1:7">
      <c r="F1384" s="413"/>
    </row>
    <row r="1385" spans="1:7">
      <c r="F1385" s="413"/>
    </row>
    <row r="1386" spans="1:7">
      <c r="F1386" s="413"/>
    </row>
    <row r="1387" spans="1:7">
      <c r="F1387" s="413"/>
    </row>
    <row r="1388" spans="1:7">
      <c r="A1388" s="83"/>
      <c r="B1388" s="84"/>
      <c r="C1388" s="84"/>
      <c r="D1388" s="52"/>
      <c r="E1388" s="210"/>
      <c r="F1388" s="384"/>
      <c r="G1388" s="84"/>
    </row>
    <row r="1389" spans="1:7">
      <c r="F1389" s="413"/>
    </row>
    <row r="1390" spans="1:7">
      <c r="A1390" s="50"/>
      <c r="B1390" s="50"/>
      <c r="C1390" s="50"/>
      <c r="D1390" s="52"/>
      <c r="E1390" s="211"/>
      <c r="F1390" s="273"/>
      <c r="G1390" s="50"/>
    </row>
    <row r="1391" spans="1:7">
      <c r="F1391" s="413"/>
    </row>
    <row r="1392" spans="1:7">
      <c r="F1392" s="413"/>
    </row>
    <row r="1393" spans="1:7">
      <c r="F1393" s="413"/>
    </row>
    <row r="1394" spans="1:7">
      <c r="F1394" s="413"/>
    </row>
    <row r="1395" spans="1:7">
      <c r="A1395" s="83"/>
      <c r="B1395" s="84"/>
      <c r="C1395" s="84"/>
      <c r="D1395" s="52"/>
      <c r="E1395" s="210"/>
      <c r="F1395" s="384"/>
      <c r="G1395" s="84"/>
    </row>
    <row r="1396" spans="1:7">
      <c r="F1396" s="413"/>
    </row>
    <row r="1397" spans="1:7">
      <c r="A1397" s="50"/>
      <c r="B1397" s="50"/>
      <c r="C1397" s="50"/>
      <c r="D1397" s="52"/>
      <c r="E1397" s="211"/>
      <c r="F1397" s="273"/>
      <c r="G1397" s="50"/>
    </row>
    <row r="1398" spans="1:7">
      <c r="F1398" s="413"/>
    </row>
    <row r="1399" spans="1:7">
      <c r="F1399" s="413"/>
    </row>
    <row r="1400" spans="1:7">
      <c r="F1400" s="413"/>
    </row>
    <row r="1401" spans="1:7">
      <c r="F1401" s="413"/>
    </row>
    <row r="1402" spans="1:7">
      <c r="F1402" s="413"/>
    </row>
    <row r="1403" spans="1:7">
      <c r="A1403" s="83"/>
      <c r="B1403" s="85"/>
      <c r="C1403" s="85"/>
      <c r="D1403" s="177"/>
      <c r="E1403" s="212"/>
      <c r="F1403" s="384"/>
      <c r="G1403" s="85"/>
    </row>
    <row r="1404" spans="1:7">
      <c r="F1404" s="413"/>
    </row>
    <row r="1405" spans="1:7">
      <c r="F1405" s="413"/>
    </row>
    <row r="1406" spans="1:7">
      <c r="A1406" s="50"/>
      <c r="B1406" s="50"/>
      <c r="C1406" s="50"/>
      <c r="D1406" s="52"/>
      <c r="E1406" s="211"/>
      <c r="F1406" s="273"/>
      <c r="G1406" s="50"/>
    </row>
    <row r="1407" spans="1:7">
      <c r="A1407" s="50"/>
      <c r="F1407" s="413"/>
    </row>
    <row r="1408" spans="1:7">
      <c r="A1408" s="50"/>
      <c r="B1408" s="50"/>
      <c r="C1408" s="50"/>
      <c r="D1408" s="52"/>
      <c r="E1408" s="211"/>
      <c r="F1408" s="273"/>
      <c r="G1408" s="50"/>
    </row>
    <row r="1409" spans="1:7">
      <c r="F1409" s="413"/>
    </row>
    <row r="1410" spans="1:7">
      <c r="F1410" s="413"/>
    </row>
    <row r="1411" spans="1:7">
      <c r="F1411" s="413"/>
    </row>
    <row r="1412" spans="1:7">
      <c r="F1412" s="413"/>
    </row>
    <row r="1413" spans="1:7">
      <c r="F1413" s="413"/>
    </row>
    <row r="1414" spans="1:7">
      <c r="A1414" s="50"/>
      <c r="B1414" s="84"/>
      <c r="C1414" s="84"/>
      <c r="D1414" s="52"/>
      <c r="E1414" s="210"/>
      <c r="F1414" s="384"/>
      <c r="G1414" s="84"/>
    </row>
    <row r="1415" spans="1:7">
      <c r="F1415" s="413"/>
    </row>
    <row r="1416" spans="1:7">
      <c r="A1416" s="50"/>
      <c r="B1416" s="50"/>
      <c r="C1416" s="50"/>
      <c r="D1416" s="52"/>
      <c r="E1416" s="211"/>
      <c r="F1416" s="273"/>
      <c r="G1416" s="50"/>
    </row>
    <row r="1417" spans="1:7">
      <c r="F1417" s="413"/>
    </row>
    <row r="1418" spans="1:7">
      <c r="F1418" s="413"/>
    </row>
    <row r="1419" spans="1:7">
      <c r="F1419" s="413"/>
    </row>
    <row r="1420" spans="1:7">
      <c r="F1420" s="413"/>
    </row>
    <row r="1421" spans="1:7">
      <c r="A1421" s="83"/>
      <c r="B1421" s="84"/>
      <c r="C1421" s="84"/>
      <c r="D1421" s="52"/>
      <c r="E1421" s="210"/>
      <c r="F1421" s="384"/>
      <c r="G1421" s="84"/>
    </row>
    <row r="1422" spans="1:7">
      <c r="F1422" s="413"/>
    </row>
    <row r="1423" spans="1:7">
      <c r="A1423" s="50"/>
      <c r="B1423" s="50"/>
      <c r="C1423" s="50"/>
      <c r="D1423" s="52"/>
      <c r="E1423" s="211"/>
      <c r="F1423" s="273"/>
      <c r="G1423" s="50"/>
    </row>
    <row r="1424" spans="1:7">
      <c r="F1424" s="413"/>
    </row>
    <row r="1425" spans="1:7">
      <c r="F1425" s="413"/>
    </row>
    <row r="1426" spans="1:7">
      <c r="F1426" s="413"/>
    </row>
    <row r="1427" spans="1:7">
      <c r="F1427" s="413"/>
    </row>
    <row r="1428" spans="1:7">
      <c r="A1428" s="83"/>
      <c r="B1428" s="84"/>
      <c r="C1428" s="84"/>
      <c r="D1428" s="52"/>
      <c r="E1428" s="210"/>
      <c r="F1428" s="384"/>
      <c r="G1428" s="84"/>
    </row>
    <row r="1429" spans="1:7">
      <c r="F1429" s="413"/>
    </row>
    <row r="1430" spans="1:7">
      <c r="A1430" s="50"/>
      <c r="B1430" s="50"/>
      <c r="C1430" s="50"/>
      <c r="D1430" s="52"/>
      <c r="E1430" s="211"/>
      <c r="F1430" s="273"/>
      <c r="G1430" s="50"/>
    </row>
    <row r="1431" spans="1:7">
      <c r="F1431" s="413"/>
    </row>
    <row r="1432" spans="1:7">
      <c r="F1432" s="413"/>
    </row>
    <row r="1433" spans="1:7">
      <c r="F1433" s="413"/>
    </row>
    <row r="1434" spans="1:7">
      <c r="F1434" s="413"/>
    </row>
    <row r="1435" spans="1:7">
      <c r="A1435" s="83"/>
      <c r="B1435" s="84"/>
      <c r="C1435" s="84"/>
      <c r="D1435" s="52"/>
      <c r="E1435" s="210"/>
      <c r="F1435" s="384"/>
      <c r="G1435" s="84"/>
    </row>
    <row r="1436" spans="1:7">
      <c r="F1436" s="413"/>
    </row>
    <row r="1437" spans="1:7">
      <c r="A1437" s="50"/>
      <c r="B1437" s="50"/>
      <c r="C1437" s="50"/>
      <c r="D1437" s="52"/>
      <c r="E1437" s="211"/>
      <c r="F1437" s="273"/>
      <c r="G1437" s="50"/>
    </row>
    <row r="1438" spans="1:7">
      <c r="F1438" s="413"/>
    </row>
    <row r="1439" spans="1:7">
      <c r="F1439" s="413"/>
    </row>
    <row r="1440" spans="1:7">
      <c r="F1440" s="413"/>
    </row>
    <row r="1441" spans="1:7">
      <c r="F1441" s="413"/>
    </row>
    <row r="1442" spans="1:7">
      <c r="F1442" s="413"/>
    </row>
    <row r="1443" spans="1:7">
      <c r="A1443" s="83"/>
      <c r="B1443" s="85"/>
      <c r="C1443" s="85"/>
      <c r="D1443" s="177"/>
      <c r="E1443" s="212"/>
      <c r="F1443" s="384"/>
      <c r="G1443" s="85"/>
    </row>
    <row r="1444" spans="1:7">
      <c r="F1444" s="413"/>
    </row>
    <row r="1445" spans="1:7">
      <c r="F1445" s="413"/>
    </row>
    <row r="1446" spans="1:7">
      <c r="A1446" s="50"/>
      <c r="B1446" s="50"/>
      <c r="C1446" s="50"/>
      <c r="D1446" s="52"/>
      <c r="E1446" s="211"/>
      <c r="F1446" s="273"/>
      <c r="G1446" s="50"/>
    </row>
    <row r="1447" spans="1:7">
      <c r="A1447" s="50"/>
      <c r="F1447" s="413"/>
    </row>
    <row r="1448" spans="1:7">
      <c r="A1448" s="50"/>
      <c r="B1448" s="50"/>
      <c r="C1448" s="50"/>
      <c r="D1448" s="52"/>
      <c r="E1448" s="211"/>
      <c r="F1448" s="273"/>
      <c r="G1448" s="50"/>
    </row>
    <row r="1449" spans="1:7">
      <c r="F1449" s="413"/>
    </row>
    <row r="1450" spans="1:7">
      <c r="F1450" s="413"/>
    </row>
    <row r="1451" spans="1:7">
      <c r="F1451" s="413"/>
    </row>
    <row r="1452" spans="1:7">
      <c r="F1452" s="413"/>
    </row>
    <row r="1453" spans="1:7">
      <c r="F1453" s="413"/>
    </row>
    <row r="1454" spans="1:7">
      <c r="A1454" s="50"/>
      <c r="B1454" s="84"/>
      <c r="C1454" s="84"/>
      <c r="D1454" s="52"/>
      <c r="E1454" s="210"/>
      <c r="F1454" s="384"/>
      <c r="G1454" s="84"/>
    </row>
    <row r="1455" spans="1:7">
      <c r="F1455" s="413"/>
    </row>
    <row r="1456" spans="1:7">
      <c r="A1456" s="50"/>
      <c r="B1456" s="50"/>
      <c r="C1456" s="50"/>
      <c r="D1456" s="52"/>
      <c r="E1456" s="211"/>
      <c r="F1456" s="273"/>
      <c r="G1456" s="50"/>
    </row>
    <row r="1457" spans="1:7">
      <c r="F1457" s="413"/>
    </row>
    <row r="1458" spans="1:7">
      <c r="F1458" s="413"/>
    </row>
    <row r="1459" spans="1:7">
      <c r="F1459" s="413"/>
    </row>
    <row r="1460" spans="1:7">
      <c r="F1460" s="413"/>
    </row>
    <row r="1461" spans="1:7">
      <c r="A1461" s="83"/>
      <c r="B1461" s="84"/>
      <c r="C1461" s="84"/>
      <c r="D1461" s="52"/>
      <c r="E1461" s="210"/>
      <c r="F1461" s="384"/>
      <c r="G1461" s="84"/>
    </row>
    <row r="1462" spans="1:7">
      <c r="F1462" s="413"/>
    </row>
    <row r="1463" spans="1:7">
      <c r="A1463" s="50"/>
      <c r="B1463" s="50"/>
      <c r="C1463" s="50"/>
      <c r="D1463" s="52"/>
      <c r="E1463" s="211"/>
      <c r="F1463" s="273"/>
      <c r="G1463" s="50"/>
    </row>
    <row r="1464" spans="1:7">
      <c r="F1464" s="413"/>
    </row>
    <row r="1465" spans="1:7">
      <c r="F1465" s="413"/>
    </row>
    <row r="1466" spans="1:7">
      <c r="F1466" s="413"/>
    </row>
    <row r="1467" spans="1:7">
      <c r="F1467" s="413"/>
    </row>
    <row r="1468" spans="1:7">
      <c r="A1468" s="83"/>
      <c r="B1468" s="84"/>
      <c r="C1468" s="84"/>
      <c r="D1468" s="52"/>
      <c r="E1468" s="210"/>
      <c r="F1468" s="384"/>
      <c r="G1468" s="84"/>
    </row>
    <row r="1469" spans="1:7">
      <c r="F1469" s="413"/>
    </row>
    <row r="1470" spans="1:7">
      <c r="A1470" s="50"/>
      <c r="B1470" s="50"/>
      <c r="C1470" s="50"/>
      <c r="D1470" s="52"/>
      <c r="E1470" s="211"/>
      <c r="F1470" s="273"/>
      <c r="G1470" s="50"/>
    </row>
    <row r="1471" spans="1:7">
      <c r="F1471" s="413"/>
    </row>
    <row r="1472" spans="1:7">
      <c r="F1472" s="413"/>
    </row>
    <row r="1473" spans="1:7">
      <c r="F1473" s="413"/>
    </row>
    <row r="1474" spans="1:7">
      <c r="F1474" s="413"/>
    </row>
    <row r="1475" spans="1:7">
      <c r="A1475" s="83"/>
      <c r="B1475" s="84"/>
      <c r="C1475" s="84"/>
      <c r="D1475" s="52"/>
      <c r="E1475" s="210"/>
      <c r="F1475" s="384"/>
      <c r="G1475" s="84"/>
    </row>
    <row r="1476" spans="1:7">
      <c r="F1476" s="413"/>
    </row>
    <row r="1477" spans="1:7">
      <c r="A1477" s="50"/>
      <c r="B1477" s="50"/>
      <c r="C1477" s="50"/>
      <c r="D1477" s="52"/>
      <c r="E1477" s="211"/>
      <c r="F1477" s="273"/>
      <c r="G1477" s="50"/>
    </row>
    <row r="1478" spans="1:7">
      <c r="F1478" s="413"/>
    </row>
    <row r="1479" spans="1:7">
      <c r="F1479" s="413"/>
    </row>
    <row r="1480" spans="1:7">
      <c r="F1480" s="413"/>
    </row>
    <row r="1481" spans="1:7">
      <c r="F1481" s="413"/>
    </row>
    <row r="1482" spans="1:7">
      <c r="F1482" s="413"/>
    </row>
    <row r="1483" spans="1:7">
      <c r="A1483" s="83"/>
      <c r="B1483" s="85"/>
      <c r="C1483" s="85"/>
      <c r="D1483" s="177"/>
      <c r="E1483" s="212"/>
      <c r="F1483" s="384"/>
      <c r="G1483" s="85"/>
    </row>
    <row r="1484" spans="1:7">
      <c r="F1484" s="413"/>
    </row>
    <row r="1485" spans="1:7">
      <c r="F1485" s="413"/>
    </row>
    <row r="1486" spans="1:7">
      <c r="A1486" s="50"/>
      <c r="B1486" s="50"/>
      <c r="C1486" s="50"/>
      <c r="D1486" s="52"/>
      <c r="E1486" s="211"/>
      <c r="F1486" s="273"/>
      <c r="G1486" s="50"/>
    </row>
    <row r="1487" spans="1:7">
      <c r="A1487" s="50"/>
      <c r="F1487" s="413"/>
    </row>
    <row r="1488" spans="1:7">
      <c r="A1488" s="50"/>
      <c r="B1488" s="50"/>
      <c r="C1488" s="50"/>
      <c r="D1488" s="52"/>
      <c r="E1488" s="211"/>
      <c r="F1488" s="273"/>
      <c r="G1488" s="50"/>
    </row>
    <row r="1489" spans="1:7">
      <c r="F1489" s="413"/>
    </row>
    <row r="1490" spans="1:7">
      <c r="F1490" s="413"/>
    </row>
    <row r="1491" spans="1:7">
      <c r="F1491" s="413"/>
    </row>
    <row r="1492" spans="1:7">
      <c r="F1492" s="413"/>
    </row>
    <row r="1493" spans="1:7">
      <c r="F1493" s="413"/>
    </row>
    <row r="1494" spans="1:7">
      <c r="A1494" s="50"/>
      <c r="B1494" s="84"/>
      <c r="C1494" s="84"/>
      <c r="D1494" s="52"/>
      <c r="E1494" s="210"/>
      <c r="F1494" s="384"/>
      <c r="G1494" s="84"/>
    </row>
    <row r="1495" spans="1:7">
      <c r="F1495" s="413"/>
    </row>
    <row r="1496" spans="1:7">
      <c r="A1496" s="50"/>
      <c r="B1496" s="50"/>
      <c r="C1496" s="50"/>
      <c r="D1496" s="52"/>
      <c r="E1496" s="211"/>
      <c r="F1496" s="273"/>
      <c r="G1496" s="50"/>
    </row>
    <row r="1497" spans="1:7">
      <c r="F1497" s="413"/>
    </row>
    <row r="1498" spans="1:7">
      <c r="F1498" s="413"/>
    </row>
    <row r="1499" spans="1:7">
      <c r="F1499" s="413"/>
    </row>
    <row r="1500" spans="1:7">
      <c r="F1500" s="413"/>
    </row>
    <row r="1501" spans="1:7">
      <c r="A1501" s="83"/>
      <c r="B1501" s="84"/>
      <c r="C1501" s="84"/>
      <c r="D1501" s="52"/>
      <c r="E1501" s="210"/>
      <c r="F1501" s="384"/>
      <c r="G1501" s="84"/>
    </row>
    <row r="1502" spans="1:7">
      <c r="F1502" s="413"/>
    </row>
    <row r="1503" spans="1:7">
      <c r="A1503" s="50"/>
      <c r="B1503" s="50"/>
      <c r="C1503" s="50"/>
      <c r="D1503" s="52"/>
      <c r="E1503" s="211"/>
      <c r="F1503" s="273"/>
      <c r="G1503" s="50"/>
    </row>
    <row r="1504" spans="1:7">
      <c r="F1504" s="413"/>
    </row>
    <row r="1505" spans="1:7">
      <c r="F1505" s="413"/>
    </row>
    <row r="1506" spans="1:7">
      <c r="F1506" s="413"/>
    </row>
    <row r="1507" spans="1:7">
      <c r="F1507" s="413"/>
    </row>
    <row r="1508" spans="1:7">
      <c r="A1508" s="83"/>
      <c r="B1508" s="84"/>
      <c r="C1508" s="84"/>
      <c r="D1508" s="52"/>
      <c r="E1508" s="210"/>
      <c r="F1508" s="384"/>
      <c r="G1508" s="84"/>
    </row>
    <row r="1509" spans="1:7">
      <c r="F1509" s="413"/>
    </row>
    <row r="1510" spans="1:7">
      <c r="A1510" s="50"/>
      <c r="B1510" s="50"/>
      <c r="C1510" s="50"/>
      <c r="D1510" s="52"/>
      <c r="E1510" s="211"/>
      <c r="F1510" s="273"/>
      <c r="G1510" s="50"/>
    </row>
    <row r="1511" spans="1:7">
      <c r="F1511" s="413"/>
    </row>
    <row r="1512" spans="1:7">
      <c r="F1512" s="413"/>
    </row>
    <row r="1513" spans="1:7">
      <c r="F1513" s="413"/>
    </row>
    <row r="1514" spans="1:7">
      <c r="F1514" s="413"/>
    </row>
    <row r="1515" spans="1:7">
      <c r="A1515" s="83"/>
      <c r="B1515" s="84"/>
      <c r="C1515" s="84"/>
      <c r="D1515" s="52"/>
      <c r="E1515" s="210"/>
      <c r="F1515" s="384"/>
      <c r="G1515" s="84"/>
    </row>
    <row r="1516" spans="1:7">
      <c r="F1516" s="413"/>
    </row>
    <row r="1517" spans="1:7">
      <c r="A1517" s="50"/>
      <c r="B1517" s="50"/>
      <c r="C1517" s="50"/>
      <c r="D1517" s="52"/>
      <c r="E1517" s="211"/>
      <c r="F1517" s="273"/>
      <c r="G1517" s="50"/>
    </row>
    <row r="1518" spans="1:7">
      <c r="F1518" s="413"/>
    </row>
    <row r="1519" spans="1:7">
      <c r="F1519" s="413"/>
    </row>
    <row r="1520" spans="1:7">
      <c r="F1520" s="413"/>
    </row>
    <row r="1521" spans="1:7">
      <c r="F1521" s="413"/>
    </row>
    <row r="1522" spans="1:7">
      <c r="F1522" s="413"/>
    </row>
    <row r="1523" spans="1:7">
      <c r="A1523" s="83"/>
      <c r="B1523" s="85"/>
      <c r="C1523" s="85"/>
      <c r="D1523" s="177"/>
      <c r="E1523" s="212"/>
      <c r="F1523" s="384"/>
      <c r="G1523" s="85"/>
    </row>
    <row r="1524" spans="1:7">
      <c r="F1524" s="413"/>
    </row>
    <row r="1525" spans="1:7">
      <c r="F1525" s="413"/>
    </row>
    <row r="1526" spans="1:7">
      <c r="A1526" s="50"/>
      <c r="B1526" s="50"/>
      <c r="C1526" s="50"/>
      <c r="D1526" s="52"/>
      <c r="E1526" s="211"/>
      <c r="F1526" s="273"/>
      <c r="G1526" s="50"/>
    </row>
    <row r="1527" spans="1:7">
      <c r="A1527" s="50"/>
      <c r="F1527" s="413"/>
    </row>
    <row r="1528" spans="1:7">
      <c r="A1528" s="50"/>
      <c r="B1528" s="50"/>
      <c r="C1528" s="50"/>
      <c r="D1528" s="52"/>
      <c r="E1528" s="211"/>
      <c r="F1528" s="273"/>
      <c r="G1528" s="50"/>
    </row>
    <row r="1529" spans="1:7">
      <c r="F1529" s="413"/>
    </row>
    <row r="1530" spans="1:7">
      <c r="F1530" s="413"/>
    </row>
    <row r="1531" spans="1:7">
      <c r="F1531" s="413"/>
    </row>
    <row r="1532" spans="1:7">
      <c r="F1532" s="413"/>
    </row>
    <row r="1533" spans="1:7">
      <c r="F1533" s="413"/>
    </row>
    <row r="1534" spans="1:7">
      <c r="A1534" s="50"/>
      <c r="B1534" s="84"/>
      <c r="C1534" s="84"/>
      <c r="D1534" s="52"/>
      <c r="E1534" s="210"/>
      <c r="F1534" s="384"/>
      <c r="G1534" s="84"/>
    </row>
    <row r="1535" spans="1:7">
      <c r="F1535" s="413"/>
    </row>
    <row r="1536" spans="1:7">
      <c r="A1536" s="50"/>
      <c r="B1536" s="50"/>
      <c r="C1536" s="50"/>
      <c r="D1536" s="52"/>
      <c r="E1536" s="211"/>
      <c r="F1536" s="273"/>
      <c r="G1536" s="50"/>
    </row>
    <row r="1537" spans="1:7">
      <c r="F1537" s="413"/>
    </row>
    <row r="1538" spans="1:7">
      <c r="F1538" s="413"/>
    </row>
    <row r="1539" spans="1:7">
      <c r="F1539" s="413"/>
    </row>
    <row r="1540" spans="1:7">
      <c r="F1540" s="413"/>
    </row>
    <row r="1541" spans="1:7">
      <c r="A1541" s="83"/>
      <c r="B1541" s="84"/>
      <c r="C1541" s="84"/>
      <c r="D1541" s="52"/>
      <c r="E1541" s="210"/>
      <c r="F1541" s="384"/>
      <c r="G1541" s="84"/>
    </row>
    <row r="1542" spans="1:7">
      <c r="F1542" s="413"/>
    </row>
    <row r="1543" spans="1:7">
      <c r="A1543" s="50"/>
      <c r="B1543" s="50"/>
      <c r="C1543" s="50"/>
      <c r="D1543" s="52"/>
      <c r="E1543" s="211"/>
      <c r="F1543" s="273"/>
      <c r="G1543" s="50"/>
    </row>
    <row r="1544" spans="1:7">
      <c r="F1544" s="413"/>
    </row>
    <row r="1545" spans="1:7">
      <c r="F1545" s="413"/>
    </row>
    <row r="1546" spans="1:7">
      <c r="F1546" s="413"/>
    </row>
    <row r="1547" spans="1:7">
      <c r="F1547" s="413"/>
    </row>
    <row r="1548" spans="1:7">
      <c r="A1548" s="83"/>
      <c r="B1548" s="84"/>
      <c r="C1548" s="84"/>
      <c r="D1548" s="52"/>
      <c r="E1548" s="210"/>
      <c r="F1548" s="384"/>
      <c r="G1548" s="84"/>
    </row>
    <row r="1549" spans="1:7">
      <c r="F1549" s="413"/>
    </row>
    <row r="1550" spans="1:7">
      <c r="A1550" s="50"/>
      <c r="B1550" s="50"/>
      <c r="C1550" s="50"/>
      <c r="D1550" s="52"/>
      <c r="E1550" s="211"/>
      <c r="F1550" s="273"/>
      <c r="G1550" s="50"/>
    </row>
    <row r="1551" spans="1:7">
      <c r="F1551" s="413"/>
    </row>
    <row r="1552" spans="1:7">
      <c r="F1552" s="413"/>
    </row>
    <row r="1553" spans="1:7">
      <c r="F1553" s="413"/>
    </row>
    <row r="1554" spans="1:7">
      <c r="F1554" s="413"/>
    </row>
    <row r="1555" spans="1:7">
      <c r="A1555" s="83"/>
      <c r="B1555" s="84"/>
      <c r="C1555" s="84"/>
      <c r="D1555" s="52"/>
      <c r="E1555" s="210"/>
      <c r="F1555" s="384"/>
      <c r="G1555" s="84"/>
    </row>
    <row r="1556" spans="1:7">
      <c r="F1556" s="413"/>
    </row>
    <row r="1557" spans="1:7">
      <c r="A1557" s="50"/>
      <c r="B1557" s="50"/>
      <c r="C1557" s="50"/>
      <c r="D1557" s="52"/>
      <c r="E1557" s="211"/>
      <c r="F1557" s="273"/>
      <c r="G1557" s="50"/>
    </row>
    <row r="1558" spans="1:7">
      <c r="F1558" s="413"/>
    </row>
    <row r="1559" spans="1:7">
      <c r="F1559" s="413"/>
    </row>
    <row r="1560" spans="1:7">
      <c r="F1560" s="413"/>
    </row>
    <row r="1561" spans="1:7">
      <c r="F1561" s="413"/>
    </row>
    <row r="1562" spans="1:7">
      <c r="F1562" s="413"/>
    </row>
    <row r="1563" spans="1:7">
      <c r="A1563" s="83"/>
      <c r="B1563" s="85"/>
      <c r="C1563" s="85"/>
      <c r="D1563" s="177"/>
      <c r="E1563" s="212"/>
      <c r="F1563" s="384"/>
      <c r="G1563" s="85"/>
    </row>
    <row r="1564" spans="1:7">
      <c r="F1564" s="413"/>
    </row>
    <row r="1565" spans="1:7">
      <c r="F1565" s="413"/>
    </row>
    <row r="1566" spans="1:7">
      <c r="A1566" s="50"/>
      <c r="B1566" s="50"/>
      <c r="C1566" s="50"/>
      <c r="D1566" s="52"/>
      <c r="E1566" s="211"/>
      <c r="F1566" s="273"/>
      <c r="G1566" s="50"/>
    </row>
    <row r="1567" spans="1:7">
      <c r="A1567" s="50"/>
      <c r="F1567" s="413"/>
    </row>
    <row r="1568" spans="1:7">
      <c r="A1568" s="50"/>
      <c r="B1568" s="50"/>
      <c r="C1568" s="50"/>
      <c r="D1568" s="52"/>
      <c r="E1568" s="211"/>
      <c r="F1568" s="273"/>
      <c r="G1568" s="50"/>
    </row>
    <row r="1569" spans="1:7">
      <c r="F1569" s="413"/>
    </row>
    <row r="1570" spans="1:7">
      <c r="F1570" s="413"/>
    </row>
    <row r="1571" spans="1:7">
      <c r="F1571" s="413"/>
    </row>
    <row r="1572" spans="1:7">
      <c r="F1572" s="413"/>
    </row>
    <row r="1573" spans="1:7">
      <c r="F1573" s="413"/>
    </row>
    <row r="1574" spans="1:7">
      <c r="A1574" s="50"/>
      <c r="B1574" s="84"/>
      <c r="C1574" s="84"/>
      <c r="D1574" s="52"/>
      <c r="E1574" s="210"/>
      <c r="F1574" s="384"/>
      <c r="G1574" s="84"/>
    </row>
    <row r="1575" spans="1:7">
      <c r="F1575" s="413"/>
    </row>
    <row r="1576" spans="1:7">
      <c r="A1576" s="50"/>
      <c r="B1576" s="50"/>
      <c r="C1576" s="50"/>
      <c r="D1576" s="52"/>
      <c r="E1576" s="211"/>
      <c r="F1576" s="273"/>
      <c r="G1576" s="50"/>
    </row>
    <row r="1577" spans="1:7">
      <c r="F1577" s="413"/>
    </row>
    <row r="1578" spans="1:7">
      <c r="F1578" s="413"/>
    </row>
    <row r="1579" spans="1:7">
      <c r="F1579" s="413"/>
    </row>
    <row r="1580" spans="1:7">
      <c r="F1580" s="413"/>
    </row>
    <row r="1581" spans="1:7">
      <c r="A1581" s="83"/>
      <c r="B1581" s="84"/>
      <c r="C1581" s="84"/>
      <c r="D1581" s="52"/>
      <c r="E1581" s="210"/>
      <c r="F1581" s="384"/>
      <c r="G1581" s="84"/>
    </row>
    <row r="1582" spans="1:7">
      <c r="F1582" s="413"/>
    </row>
    <row r="1583" spans="1:7">
      <c r="A1583" s="50"/>
      <c r="B1583" s="50"/>
      <c r="C1583" s="50"/>
      <c r="D1583" s="52"/>
      <c r="E1583" s="211"/>
      <c r="F1583" s="273"/>
      <c r="G1583" s="50"/>
    </row>
    <row r="1584" spans="1:7">
      <c r="F1584" s="413"/>
    </row>
    <row r="1585" spans="1:7">
      <c r="F1585" s="413"/>
    </row>
    <row r="1586" spans="1:7">
      <c r="F1586" s="413"/>
    </row>
    <row r="1587" spans="1:7">
      <c r="F1587" s="413"/>
    </row>
    <row r="1588" spans="1:7">
      <c r="A1588" s="83"/>
      <c r="B1588" s="84"/>
      <c r="C1588" s="84"/>
      <c r="D1588" s="52"/>
      <c r="E1588" s="210"/>
      <c r="F1588" s="384"/>
      <c r="G1588" s="84"/>
    </row>
    <row r="1589" spans="1:7">
      <c r="F1589" s="413"/>
    </row>
    <row r="1590" spans="1:7">
      <c r="A1590" s="50"/>
      <c r="B1590" s="50"/>
      <c r="C1590" s="50"/>
      <c r="D1590" s="52"/>
      <c r="E1590" s="211"/>
      <c r="F1590" s="273"/>
      <c r="G1590" s="50"/>
    </row>
    <row r="1591" spans="1:7">
      <c r="F1591" s="413"/>
    </row>
    <row r="1592" spans="1:7">
      <c r="F1592" s="413"/>
    </row>
    <row r="1593" spans="1:7">
      <c r="F1593" s="413"/>
    </row>
    <row r="1594" spans="1:7">
      <c r="F1594" s="413"/>
    </row>
    <row r="1595" spans="1:7">
      <c r="A1595" s="83"/>
      <c r="B1595" s="84"/>
      <c r="C1595" s="84"/>
      <c r="D1595" s="52"/>
      <c r="E1595" s="210"/>
      <c r="F1595" s="384"/>
      <c r="G1595" s="84"/>
    </row>
    <row r="1596" spans="1:7">
      <c r="F1596" s="413"/>
    </row>
    <row r="1597" spans="1:7">
      <c r="A1597" s="50"/>
      <c r="B1597" s="50"/>
      <c r="C1597" s="50"/>
      <c r="D1597" s="52"/>
      <c r="E1597" s="211"/>
      <c r="F1597" s="273"/>
      <c r="G1597" s="50"/>
    </row>
    <row r="1598" spans="1:7">
      <c r="F1598" s="413"/>
    </row>
    <row r="1599" spans="1:7">
      <c r="F1599" s="413"/>
    </row>
    <row r="1600" spans="1:7">
      <c r="F1600" s="413"/>
    </row>
    <row r="1601" spans="1:7">
      <c r="F1601" s="413"/>
    </row>
    <row r="1602" spans="1:7">
      <c r="F1602" s="413"/>
    </row>
    <row r="1603" spans="1:7">
      <c r="A1603" s="83"/>
      <c r="B1603" s="85"/>
      <c r="C1603" s="85"/>
      <c r="D1603" s="177"/>
      <c r="E1603" s="212"/>
      <c r="F1603" s="384"/>
      <c r="G1603" s="85"/>
    </row>
    <row r="1604" spans="1:7">
      <c r="F1604" s="413"/>
    </row>
    <row r="1605" spans="1:7">
      <c r="F1605" s="413"/>
    </row>
    <row r="1606" spans="1:7">
      <c r="A1606" s="50"/>
      <c r="B1606" s="50"/>
      <c r="C1606" s="50"/>
      <c r="D1606" s="52"/>
      <c r="E1606" s="211"/>
      <c r="F1606" s="273"/>
      <c r="G1606" s="50"/>
    </row>
    <row r="1607" spans="1:7">
      <c r="A1607" s="50"/>
      <c r="F1607" s="413"/>
    </row>
    <row r="1608" spans="1:7">
      <c r="A1608" s="50"/>
      <c r="B1608" s="50"/>
      <c r="C1608" s="50"/>
      <c r="D1608" s="52"/>
      <c r="E1608" s="211"/>
      <c r="F1608" s="273"/>
      <c r="G1608" s="50"/>
    </row>
    <row r="1609" spans="1:7">
      <c r="F1609" s="413"/>
    </row>
    <row r="1610" spans="1:7">
      <c r="F1610" s="413"/>
    </row>
    <row r="1611" spans="1:7">
      <c r="F1611" s="413"/>
    </row>
    <row r="1612" spans="1:7">
      <c r="F1612" s="413"/>
    </row>
    <row r="1613" spans="1:7">
      <c r="F1613" s="413"/>
    </row>
    <row r="1614" spans="1:7">
      <c r="A1614" s="50"/>
      <c r="B1614" s="84"/>
      <c r="C1614" s="84"/>
      <c r="D1614" s="52"/>
      <c r="E1614" s="210"/>
      <c r="F1614" s="384"/>
      <c r="G1614" s="84"/>
    </row>
    <row r="1615" spans="1:7">
      <c r="F1615" s="413"/>
    </row>
    <row r="1616" spans="1:7">
      <c r="A1616" s="50"/>
      <c r="B1616" s="50"/>
      <c r="C1616" s="50"/>
      <c r="D1616" s="52"/>
      <c r="E1616" s="211"/>
      <c r="F1616" s="273"/>
      <c r="G1616" s="50"/>
    </row>
    <row r="1617" spans="1:7">
      <c r="F1617" s="413"/>
    </row>
    <row r="1618" spans="1:7">
      <c r="F1618" s="413"/>
    </row>
    <row r="1619" spans="1:7">
      <c r="F1619" s="413"/>
    </row>
    <row r="1620" spans="1:7">
      <c r="F1620" s="413"/>
    </row>
    <row r="1621" spans="1:7">
      <c r="A1621" s="83"/>
      <c r="B1621" s="84"/>
      <c r="C1621" s="84"/>
      <c r="D1621" s="52"/>
      <c r="E1621" s="210"/>
      <c r="F1621" s="384"/>
      <c r="G1621" s="84"/>
    </row>
    <row r="1622" spans="1:7">
      <c r="F1622" s="413"/>
    </row>
    <row r="1623" spans="1:7">
      <c r="A1623" s="50"/>
      <c r="B1623" s="50"/>
      <c r="C1623" s="50"/>
      <c r="D1623" s="52"/>
      <c r="E1623" s="211"/>
      <c r="F1623" s="273"/>
      <c r="G1623" s="50"/>
    </row>
    <row r="1624" spans="1:7">
      <c r="F1624" s="413"/>
    </row>
    <row r="1625" spans="1:7">
      <c r="F1625" s="413"/>
    </row>
    <row r="1626" spans="1:7">
      <c r="F1626" s="413"/>
    </row>
    <row r="1627" spans="1:7">
      <c r="F1627" s="413"/>
    </row>
    <row r="1628" spans="1:7">
      <c r="A1628" s="83"/>
      <c r="B1628" s="84"/>
      <c r="C1628" s="84"/>
      <c r="D1628" s="52"/>
      <c r="E1628" s="210"/>
      <c r="F1628" s="384"/>
      <c r="G1628" s="84"/>
    </row>
    <row r="1629" spans="1:7">
      <c r="F1629" s="413"/>
    </row>
    <row r="1630" spans="1:7">
      <c r="A1630" s="50"/>
      <c r="B1630" s="50"/>
      <c r="C1630" s="50"/>
      <c r="D1630" s="52"/>
      <c r="E1630" s="211"/>
      <c r="F1630" s="273"/>
      <c r="G1630" s="50"/>
    </row>
    <row r="1631" spans="1:7">
      <c r="F1631" s="413"/>
    </row>
    <row r="1632" spans="1:7">
      <c r="F1632" s="413"/>
    </row>
    <row r="1633" spans="1:7">
      <c r="F1633" s="413"/>
    </row>
    <row r="1634" spans="1:7">
      <c r="F1634" s="413"/>
    </row>
    <row r="1635" spans="1:7">
      <c r="A1635" s="83"/>
      <c r="B1635" s="84"/>
      <c r="C1635" s="84"/>
      <c r="D1635" s="52"/>
      <c r="E1635" s="210"/>
      <c r="F1635" s="384"/>
      <c r="G1635" s="84"/>
    </row>
    <row r="1636" spans="1:7">
      <c r="F1636" s="413"/>
    </row>
    <row r="1637" spans="1:7">
      <c r="A1637" s="50"/>
      <c r="B1637" s="50"/>
      <c r="C1637" s="50"/>
      <c r="D1637" s="52"/>
      <c r="E1637" s="211"/>
      <c r="F1637" s="273"/>
      <c r="G1637" s="50"/>
    </row>
    <row r="1638" spans="1:7">
      <c r="F1638" s="413"/>
    </row>
    <row r="1639" spans="1:7">
      <c r="F1639" s="413"/>
    </row>
    <row r="1640" spans="1:7">
      <c r="F1640" s="413"/>
    </row>
    <row r="1641" spans="1:7">
      <c r="F1641" s="413"/>
    </row>
    <row r="1642" spans="1:7">
      <c r="F1642" s="413"/>
    </row>
    <row r="1643" spans="1:7">
      <c r="A1643" s="83"/>
      <c r="B1643" s="85"/>
      <c r="C1643" s="85"/>
      <c r="D1643" s="177"/>
      <c r="E1643" s="212"/>
      <c r="F1643" s="384"/>
      <c r="G1643" s="85"/>
    </row>
    <row r="1644" spans="1:7">
      <c r="F1644" s="413"/>
    </row>
    <row r="1645" spans="1:7">
      <c r="F1645" s="413"/>
    </row>
    <row r="1646" spans="1:7">
      <c r="A1646" s="50"/>
      <c r="B1646" s="50"/>
      <c r="C1646" s="50"/>
      <c r="D1646" s="52"/>
      <c r="E1646" s="211"/>
      <c r="F1646" s="273"/>
      <c r="G1646" s="50"/>
    </row>
    <row r="1647" spans="1:7">
      <c r="A1647" s="50"/>
      <c r="F1647" s="413"/>
    </row>
    <row r="1648" spans="1:7">
      <c r="A1648" s="50"/>
      <c r="B1648" s="50"/>
      <c r="C1648" s="50"/>
      <c r="D1648" s="52"/>
      <c r="E1648" s="211"/>
      <c r="F1648" s="273"/>
      <c r="G1648" s="50"/>
    </row>
    <row r="1649" spans="1:7">
      <c r="F1649" s="413"/>
    </row>
    <row r="1650" spans="1:7">
      <c r="F1650" s="413"/>
    </row>
    <row r="1651" spans="1:7">
      <c r="F1651" s="413"/>
    </row>
    <row r="1652" spans="1:7">
      <c r="F1652" s="413"/>
    </row>
    <row r="1653" spans="1:7">
      <c r="F1653" s="413"/>
    </row>
    <row r="1654" spans="1:7">
      <c r="A1654" s="50"/>
      <c r="B1654" s="84"/>
      <c r="C1654" s="84"/>
      <c r="D1654" s="52"/>
      <c r="E1654" s="210"/>
      <c r="F1654" s="384"/>
      <c r="G1654" s="84"/>
    </row>
    <row r="1655" spans="1:7">
      <c r="F1655" s="413"/>
    </row>
    <row r="1656" spans="1:7">
      <c r="A1656" s="50"/>
      <c r="B1656" s="50"/>
      <c r="C1656" s="50"/>
      <c r="D1656" s="52"/>
      <c r="E1656" s="211"/>
      <c r="F1656" s="273"/>
      <c r="G1656" s="50"/>
    </row>
    <row r="1657" spans="1:7">
      <c r="F1657" s="413"/>
    </row>
    <row r="1658" spans="1:7">
      <c r="F1658" s="413"/>
    </row>
    <row r="1659" spans="1:7">
      <c r="F1659" s="413"/>
    </row>
    <row r="1660" spans="1:7">
      <c r="F1660" s="413"/>
    </row>
    <row r="1661" spans="1:7">
      <c r="A1661" s="83"/>
      <c r="B1661" s="84"/>
      <c r="C1661" s="84"/>
      <c r="D1661" s="52"/>
      <c r="E1661" s="210"/>
      <c r="F1661" s="384"/>
      <c r="G1661" s="84"/>
    </row>
    <row r="1662" spans="1:7">
      <c r="F1662" s="413"/>
    </row>
    <row r="1663" spans="1:7">
      <c r="A1663" s="50"/>
      <c r="B1663" s="50"/>
      <c r="C1663" s="50"/>
      <c r="D1663" s="52"/>
      <c r="E1663" s="211"/>
      <c r="F1663" s="273"/>
      <c r="G1663" s="50"/>
    </row>
    <row r="1664" spans="1:7">
      <c r="F1664" s="413"/>
    </row>
    <row r="1665" spans="1:7">
      <c r="F1665" s="413"/>
    </row>
    <row r="1666" spans="1:7">
      <c r="F1666" s="413"/>
    </row>
    <row r="1667" spans="1:7">
      <c r="F1667" s="413"/>
    </row>
    <row r="1668" spans="1:7">
      <c r="A1668" s="83"/>
      <c r="B1668" s="84"/>
      <c r="C1668" s="84"/>
      <c r="D1668" s="52"/>
      <c r="E1668" s="210"/>
      <c r="F1668" s="384"/>
      <c r="G1668" s="84"/>
    </row>
    <row r="1669" spans="1:7">
      <c r="F1669" s="413"/>
    </row>
    <row r="1670" spans="1:7">
      <c r="A1670" s="50"/>
      <c r="B1670" s="50"/>
      <c r="C1670" s="50"/>
      <c r="D1670" s="52"/>
      <c r="E1670" s="211"/>
      <c r="F1670" s="273"/>
      <c r="G1670" s="50"/>
    </row>
    <row r="1671" spans="1:7">
      <c r="F1671" s="413"/>
    </row>
    <row r="1672" spans="1:7">
      <c r="F1672" s="413"/>
    </row>
    <row r="1673" spans="1:7">
      <c r="F1673" s="413"/>
    </row>
    <row r="1674" spans="1:7">
      <c r="F1674" s="413"/>
    </row>
    <row r="1675" spans="1:7">
      <c r="A1675" s="83"/>
      <c r="B1675" s="84"/>
      <c r="C1675" s="84"/>
      <c r="D1675" s="52"/>
      <c r="E1675" s="210"/>
      <c r="F1675" s="384"/>
      <c r="G1675" s="84"/>
    </row>
    <row r="1676" spans="1:7">
      <c r="F1676" s="413"/>
    </row>
    <row r="1677" spans="1:7">
      <c r="A1677" s="50"/>
      <c r="B1677" s="50"/>
      <c r="C1677" s="50"/>
      <c r="D1677" s="52"/>
      <c r="E1677" s="211"/>
      <c r="F1677" s="273"/>
      <c r="G1677" s="50"/>
    </row>
    <row r="1678" spans="1:7">
      <c r="F1678" s="413"/>
    </row>
    <row r="1679" spans="1:7">
      <c r="F1679" s="413"/>
    </row>
    <row r="1680" spans="1:7">
      <c r="F1680" s="413"/>
    </row>
    <row r="1681" spans="1:7">
      <c r="F1681" s="413"/>
    </row>
    <row r="1682" spans="1:7">
      <c r="F1682" s="413"/>
    </row>
    <row r="1683" spans="1:7">
      <c r="A1683" s="83"/>
      <c r="B1683" s="85"/>
      <c r="C1683" s="85"/>
      <c r="D1683" s="177"/>
      <c r="E1683" s="212"/>
      <c r="F1683" s="384"/>
      <c r="G1683" s="85"/>
    </row>
  </sheetData>
  <customSheetViews>
    <customSheetView guid="{AE6F0488-1842-4C89-B05F-A836B633FB8F}" scale="75" showPageBreaks="1" hiddenColumns="1" showRuler="0">
      <pane xSplit="1" ySplit="3" topLeftCell="B32" activePane="bottomRight" state="frozen"/>
      <selection pane="bottomRight" activeCell="F37" sqref="F37"/>
      <rowBreaks count="72" manualBreakCount="72">
        <brk id="49" max="16" man="1"/>
        <brk id="93" max="16" man="1"/>
        <brk id="94" max="15" man="1"/>
        <brk id="139" max="16" man="1"/>
        <brk id="140" max="15" man="1"/>
        <brk id="185" max="16383" man="1"/>
        <brk id="231" max="16383" man="1"/>
        <brk id="276" max="16383" man="1"/>
        <brk id="320" max="16383" man="1"/>
        <brk id="365" max="16383" man="1"/>
        <brk id="408" max="16383" man="1"/>
        <brk id="482" max="8" man="1"/>
        <brk id="483" max="8" man="1"/>
        <brk id="521" max="8" man="1"/>
        <brk id="523" max="8" man="1"/>
        <brk id="561" max="8" man="1"/>
        <brk id="563" max="16383" man="1"/>
        <brk id="601" max="8" man="1"/>
        <brk id="603" max="16383" man="1"/>
        <brk id="641" max="8" man="1"/>
        <brk id="643" max="16383" man="1"/>
        <brk id="681" max="8" man="1"/>
        <brk id="683" max="16383" man="1"/>
        <brk id="721" max="8" man="1"/>
        <brk id="723" max="8" man="1"/>
        <brk id="761" max="8" man="1"/>
        <brk id="763" max="16383" man="1"/>
        <brk id="801" max="8" man="1"/>
        <brk id="803" max="16383" man="1"/>
        <brk id="841" max="8" man="1"/>
        <brk id="843" max="16383" man="1"/>
        <brk id="881" max="8" man="1"/>
        <brk id="883" max="16383" man="1"/>
        <brk id="921" max="8" man="1"/>
        <brk id="923" max="16383" man="1"/>
        <brk id="961" max="8" man="1"/>
        <brk id="963" max="16383" man="1"/>
        <brk id="1001" max="8" man="1"/>
        <brk id="1003" max="16383" man="1"/>
        <brk id="1041" max="8" man="1"/>
        <brk id="1043" max="16383" man="1"/>
        <brk id="1081" max="8" man="1"/>
        <brk id="1083" max="16383" man="1"/>
        <brk id="1121" max="8" man="1"/>
        <brk id="1123" max="16383" man="1"/>
        <brk id="1161" max="8" man="1"/>
        <brk id="1163" max="16383" man="1"/>
        <brk id="1201" max="8" man="1"/>
        <brk id="1203" max="16383" man="1"/>
        <brk id="1241" max="8" man="1"/>
        <brk id="1243" max="16383" man="1"/>
        <brk id="1281" max="8" man="1"/>
        <brk id="1283" max="16383" man="1"/>
        <brk id="1321" max="8" man="1"/>
        <brk id="1323" max="16383" man="1"/>
        <brk id="1361" max="8" man="1"/>
        <brk id="1363" max="16383" man="1"/>
        <brk id="1401" max="8" man="1"/>
        <brk id="1403" max="16383" man="1"/>
        <brk id="1441" max="8" man="1"/>
        <brk id="1443" max="16383" man="1"/>
        <brk id="1481" max="8" man="1"/>
        <brk id="1483" max="16383" man="1"/>
        <brk id="1521" max="8" man="1"/>
        <brk id="1523" max="16383" man="1"/>
        <brk id="1561" max="8" man="1"/>
        <brk id="1563" max="16383" man="1"/>
        <brk id="1601" max="8" man="1"/>
        <brk id="1603" max="16383" man="1"/>
        <brk id="1641" max="8" man="1"/>
        <brk id="1643" max="16383" man="1"/>
        <brk id="1681" max="8" man="1"/>
      </rowBreaks>
      <pageMargins left="0.17" right="0.16" top="0.91" bottom="0.72" header="0.4" footer="0.35"/>
      <pageSetup paperSize="5" scale="73" firstPageNumber="21" orientation="landscape" useFirstPageNumber="1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B207" sqref="B207"/>
      <rowBreaks count="70" manualBreakCount="70">
        <brk id="49" max="16" man="1"/>
        <brk id="94" max="15" man="1"/>
        <brk id="140" max="15" man="1"/>
        <brk id="185" max="15" man="1"/>
        <brk id="231" max="15" man="1"/>
        <brk id="276" max="15" man="1"/>
        <brk id="320" max="15" man="1"/>
        <brk id="365" max="15" man="1"/>
        <brk id="408" max="15" man="1"/>
        <brk id="482" max="8" man="1"/>
        <brk id="483" max="8" man="1"/>
        <brk id="521" max="8" man="1"/>
        <brk id="523" max="8" man="1"/>
        <brk id="561" max="8" man="1"/>
        <brk id="563" max="16383" man="1"/>
        <brk id="601" max="8" man="1"/>
        <brk id="603" max="16383" man="1"/>
        <brk id="641" max="8" man="1"/>
        <brk id="643" max="16383" man="1"/>
        <brk id="681" max="8" man="1"/>
        <brk id="683" max="16383" man="1"/>
        <brk id="721" max="8" man="1"/>
        <brk id="723" max="8" man="1"/>
        <brk id="761" max="8" man="1"/>
        <brk id="763" max="16383" man="1"/>
        <brk id="801" max="8" man="1"/>
        <brk id="803" max="16383" man="1"/>
        <brk id="841" max="8" man="1"/>
        <brk id="843" max="16383" man="1"/>
        <brk id="881" max="8" man="1"/>
        <brk id="883" max="16383" man="1"/>
        <brk id="921" max="8" man="1"/>
        <brk id="923" max="16383" man="1"/>
        <brk id="961" max="8" man="1"/>
        <brk id="963" max="16383" man="1"/>
        <brk id="1001" max="8" man="1"/>
        <brk id="1003" max="16383" man="1"/>
        <brk id="1041" max="8" man="1"/>
        <brk id="1043" max="16383" man="1"/>
        <brk id="1081" max="8" man="1"/>
        <brk id="1083" max="16383" man="1"/>
        <brk id="1121" max="8" man="1"/>
        <brk id="1123" max="16383" man="1"/>
        <brk id="1161" max="8" man="1"/>
        <brk id="1163" max="16383" man="1"/>
        <brk id="1201" max="8" man="1"/>
        <brk id="1203" max="16383" man="1"/>
        <brk id="1241" max="8" man="1"/>
        <brk id="1243" max="16383" man="1"/>
        <brk id="1281" max="8" man="1"/>
        <brk id="1283" max="16383" man="1"/>
        <brk id="1321" max="8" man="1"/>
        <brk id="1323" max="16383" man="1"/>
        <brk id="1361" max="8" man="1"/>
        <brk id="1363" max="16383" man="1"/>
        <brk id="1401" max="8" man="1"/>
        <brk id="1403" max="16383" man="1"/>
        <brk id="1441" max="8" man="1"/>
        <brk id="1443" max="16383" man="1"/>
        <brk id="1481" max="8" man="1"/>
        <brk id="1483" max="16383" man="1"/>
        <brk id="1521" max="8" man="1"/>
        <brk id="1523" max="16383" man="1"/>
        <brk id="1561" max="8" man="1"/>
        <brk id="1563" max="16383" man="1"/>
        <brk id="1601" max="8" man="1"/>
        <brk id="1603" max="16383" man="1"/>
        <brk id="1641" max="8" man="1"/>
        <brk id="1643" max="16383" man="1"/>
        <brk id="1681" max="8" man="1"/>
      </rowBreaks>
      <pageMargins left="0.17" right="0.16" top="0.91" bottom="0.9" header="0.4" footer="0.35"/>
      <pageSetup paperSize="5" scale="67" firstPageNumber="20" orientation="landscape" useFirstPageNumber="1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hiddenRows="1" showRuler="0">
      <pane xSplit="1" ySplit="3" topLeftCell="B204" activePane="bottomRight" state="frozen"/>
      <selection pane="bottomRight" activeCell="F268" sqref="F268"/>
      <rowBreaks count="70" manualBreakCount="70">
        <brk id="49" max="16" man="1"/>
        <brk id="94" max="15" man="1"/>
        <brk id="140" max="15" man="1"/>
        <brk id="185" max="15" man="1"/>
        <brk id="231" max="15" man="1"/>
        <brk id="276" max="15" man="1"/>
        <brk id="320" max="15" man="1"/>
        <brk id="365" max="15" man="1"/>
        <brk id="408" max="15" man="1"/>
        <brk id="482" max="8" man="1"/>
        <brk id="483" max="8" man="1"/>
        <brk id="521" max="8" man="1"/>
        <brk id="523" max="8" man="1"/>
        <brk id="561" max="8" man="1"/>
        <brk id="563" max="16383" man="1"/>
        <brk id="601" max="8" man="1"/>
        <brk id="603" max="16383" man="1"/>
        <brk id="641" max="8" man="1"/>
        <brk id="643" max="16383" man="1"/>
        <brk id="681" max="8" man="1"/>
        <brk id="683" max="16383" man="1"/>
        <brk id="721" max="8" man="1"/>
        <brk id="723" max="8" man="1"/>
        <brk id="761" max="8" man="1"/>
        <brk id="763" max="16383" man="1"/>
        <brk id="801" max="8" man="1"/>
        <brk id="803" max="16383" man="1"/>
        <brk id="841" max="8" man="1"/>
        <brk id="843" max="16383" man="1"/>
        <brk id="881" max="8" man="1"/>
        <brk id="883" max="16383" man="1"/>
        <brk id="921" max="8" man="1"/>
        <brk id="923" max="16383" man="1"/>
        <brk id="961" max="8" man="1"/>
        <brk id="963" max="16383" man="1"/>
        <brk id="1001" max="8" man="1"/>
        <brk id="1003" max="16383" man="1"/>
        <brk id="1041" max="8" man="1"/>
        <brk id="1043" max="16383" man="1"/>
        <brk id="1081" max="8" man="1"/>
        <brk id="1083" max="16383" man="1"/>
        <brk id="1121" max="8" man="1"/>
        <brk id="1123" max="16383" man="1"/>
        <brk id="1161" max="8" man="1"/>
        <brk id="1163" max="16383" man="1"/>
        <brk id="1201" max="8" man="1"/>
        <brk id="1203" max="16383" man="1"/>
        <brk id="1241" max="8" man="1"/>
        <brk id="1243" max="16383" man="1"/>
        <brk id="1281" max="8" man="1"/>
        <brk id="1283" max="16383" man="1"/>
        <brk id="1321" max="8" man="1"/>
        <brk id="1323" max="16383" man="1"/>
        <brk id="1361" max="8" man="1"/>
        <brk id="1363" max="16383" man="1"/>
        <brk id="1401" max="8" man="1"/>
        <brk id="1403" max="16383" man="1"/>
        <brk id="1441" max="8" man="1"/>
        <brk id="1443" max="16383" man="1"/>
        <brk id="1481" max="8" man="1"/>
        <brk id="1483" max="16383" man="1"/>
        <brk id="1521" max="8" man="1"/>
        <brk id="1523" max="16383" man="1"/>
        <brk id="1561" max="8" man="1"/>
        <brk id="1563" max="16383" man="1"/>
        <brk id="1601" max="8" man="1"/>
        <brk id="1603" max="16383" man="1"/>
        <brk id="1641" max="8" man="1"/>
        <brk id="1643" max="16383" man="1"/>
        <brk id="1681" max="8" man="1"/>
      </rowBreaks>
      <pageMargins left="0.17" right="0.16" top="0.91" bottom="0.9" header="0.4" footer="0.35"/>
      <pageSetup paperSize="5" scale="67" firstPageNumber="20" orientation="landscape" useFirstPageNumber="1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7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69" manualBreakCount="69">
    <brk id="51" max="16" man="1"/>
    <brk id="83" max="16" man="1"/>
    <brk id="133" max="16" man="1"/>
    <brk id="186" max="16383" man="1"/>
    <brk id="251" max="16" man="1"/>
    <brk id="301" max="16" man="1"/>
    <brk id="349" max="16" man="1"/>
    <brk id="397" max="16" man="1"/>
    <brk id="483" max="8" man="1"/>
    <brk id="484" max="8" man="1"/>
    <brk id="522" max="8" man="1"/>
    <brk id="524" max="8" man="1"/>
    <brk id="562" max="8" man="1"/>
    <brk id="564" max="16383" man="1"/>
    <brk id="602" max="8" man="1"/>
    <brk id="604" max="16383" man="1"/>
    <brk id="642" max="8" man="1"/>
    <brk id="644" max="16383" man="1"/>
    <brk id="682" max="8" man="1"/>
    <brk id="684" max="16383" man="1"/>
    <brk id="722" max="8" man="1"/>
    <brk id="724" max="8" man="1"/>
    <brk id="762" max="8" man="1"/>
    <brk id="764" max="16383" man="1"/>
    <brk id="802" max="8" man="1"/>
    <brk id="804" max="16383" man="1"/>
    <brk id="842" max="8" man="1"/>
    <brk id="844" max="16383" man="1"/>
    <brk id="882" max="8" man="1"/>
    <brk id="884" max="16383" man="1"/>
    <brk id="922" max="8" man="1"/>
    <brk id="924" max="16383" man="1"/>
    <brk id="962" max="8" man="1"/>
    <brk id="964" max="16383" man="1"/>
    <brk id="1002" max="8" man="1"/>
    <brk id="1004" max="16383" man="1"/>
    <brk id="1042" max="8" man="1"/>
    <brk id="1044" max="16383" man="1"/>
    <brk id="1082" max="8" man="1"/>
    <brk id="1084" max="16383" man="1"/>
    <brk id="1122" max="8" man="1"/>
    <brk id="1124" max="16383" man="1"/>
    <brk id="1162" max="8" man="1"/>
    <brk id="1164" max="16383" man="1"/>
    <brk id="1202" max="8" man="1"/>
    <brk id="1204" max="16383" man="1"/>
    <brk id="1242" max="8" man="1"/>
    <brk id="1244" max="16383" man="1"/>
    <brk id="1282" max="8" man="1"/>
    <brk id="1284" max="16383" man="1"/>
    <brk id="1322" max="8" man="1"/>
    <brk id="1324" max="16383" man="1"/>
    <brk id="1362" max="8" man="1"/>
    <brk id="1364" max="16383" man="1"/>
    <brk id="1402" max="8" man="1"/>
    <brk id="1404" max="16383" man="1"/>
    <brk id="1442" max="8" man="1"/>
    <brk id="1444" max="16383" man="1"/>
    <brk id="1482" max="8" man="1"/>
    <brk id="1484" max="16383" man="1"/>
    <brk id="1522" max="8" man="1"/>
    <brk id="1524" max="16383" man="1"/>
    <brk id="1562" max="8" man="1"/>
    <brk id="1564" max="16383" man="1"/>
    <brk id="1602" max="8" man="1"/>
    <brk id="1604" max="16383" man="1"/>
    <brk id="1642" max="8" man="1"/>
    <brk id="1644" max="16383" man="1"/>
    <brk id="1682" max="8" man="1"/>
  </rowBreaks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79998168889431442"/>
    <pageSetUpPr fitToPage="1"/>
  </sheetPr>
  <dimension ref="A1:Y1076"/>
  <sheetViews>
    <sheetView view="pageBreakPreview" zoomScale="85" zoomScaleNormal="75" zoomScaleSheetLayoutView="85" workbookViewId="0">
      <selection activeCell="A3" sqref="A3"/>
    </sheetView>
  </sheetViews>
  <sheetFormatPr defaultColWidth="9.140625" defaultRowHeight="12.75" customHeight="1"/>
  <cols>
    <col min="1" max="1" width="31.140625" style="49" customWidth="1"/>
    <col min="2" max="2" width="13.85546875" style="82" customWidth="1"/>
    <col min="3" max="3" width="11.140625" style="82" customWidth="1"/>
    <col min="4" max="4" width="10.5703125" style="82" customWidth="1"/>
    <col min="5" max="5" width="14.85546875" style="209" hidden="1" customWidth="1"/>
    <col min="6" max="6" width="18.28515625" style="82" customWidth="1"/>
    <col min="7" max="7" width="18.140625" style="82" customWidth="1"/>
    <col min="8" max="8" width="19" style="49" customWidth="1"/>
    <col min="9" max="9" width="15.85546875" style="49" customWidth="1"/>
    <col min="10" max="10" width="18.140625" style="49" customWidth="1"/>
    <col min="11" max="11" width="15.85546875" style="49" customWidth="1"/>
    <col min="12" max="12" width="18.7109375" style="49" customWidth="1"/>
    <col min="13" max="13" width="18" style="49" customWidth="1"/>
    <col min="14" max="14" width="18.42578125" style="49" customWidth="1"/>
    <col min="15" max="15" width="15.140625" style="49" customWidth="1"/>
    <col min="16" max="16" width="15.85546875" style="49" customWidth="1"/>
    <col min="17" max="17" width="21" style="49" customWidth="1"/>
    <col min="18" max="18" width="5.42578125" style="49" customWidth="1"/>
    <col min="19" max="19" width="14.42578125" style="49" customWidth="1"/>
    <col min="20" max="20" width="15.42578125" style="49" customWidth="1"/>
    <col min="21" max="21" width="18.140625" style="49" customWidth="1"/>
    <col min="22" max="22" width="19.140625" style="49" customWidth="1"/>
    <col min="23" max="23" width="16" style="49" customWidth="1"/>
    <col min="24" max="24" width="17.5703125" style="49" customWidth="1"/>
    <col min="25" max="16384" width="9.140625" style="49"/>
  </cols>
  <sheetData>
    <row r="1" spans="1:25" ht="12.75" customHeight="1">
      <c r="A1" s="1" t="s">
        <v>78</v>
      </c>
      <c r="B1" s="48"/>
      <c r="C1" s="48"/>
      <c r="D1" s="43"/>
      <c r="E1" s="17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24" t="s">
        <v>501</v>
      </c>
      <c r="S1" s="457"/>
    </row>
    <row r="2" spans="1:25" ht="12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77.25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 ht="12.75" customHeight="1">
      <c r="A4" s="50"/>
      <c r="B4" s="43"/>
      <c r="C4" s="51"/>
      <c r="D4" s="52"/>
      <c r="E4" s="203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25" ht="12.75" customHeight="1">
      <c r="A5" s="54" t="s">
        <v>10</v>
      </c>
      <c r="B5" s="51"/>
      <c r="C5" s="51"/>
      <c r="D5" s="52"/>
      <c r="E5" s="203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5" ht="12.75" customHeight="1">
      <c r="A6" s="50"/>
      <c r="B6" s="51"/>
      <c r="C6" s="51"/>
      <c r="D6" s="52"/>
      <c r="E6" s="203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5" ht="12.75" customHeight="1">
      <c r="A7" s="47" t="str">
        <f>A23</f>
        <v>STATE OF NEVADA</v>
      </c>
      <c r="B7" s="48">
        <f t="shared" ref="B7:Q7" si="0">B32</f>
        <v>0.17</v>
      </c>
      <c r="C7" s="48">
        <f t="shared" si="0"/>
        <v>0</v>
      </c>
      <c r="D7" s="43">
        <f t="shared" si="0"/>
        <v>43442</v>
      </c>
      <c r="E7" s="173"/>
      <c r="F7" s="43">
        <f t="shared" si="0"/>
        <v>2658204963.825294</v>
      </c>
      <c r="G7" s="53">
        <f t="shared" si="0"/>
        <v>295257.19319999998</v>
      </c>
      <c r="H7" s="53">
        <f t="shared" si="0"/>
        <v>4342061.5558999991</v>
      </c>
      <c r="I7" s="53">
        <f t="shared" si="0"/>
        <v>0</v>
      </c>
      <c r="J7" s="53">
        <f t="shared" si="0"/>
        <v>119766.40000000001</v>
      </c>
      <c r="K7" s="53">
        <f t="shared" si="0"/>
        <v>39.4</v>
      </c>
      <c r="L7" s="53">
        <f t="shared" si="0"/>
        <v>4517591.7490999997</v>
      </c>
      <c r="M7" s="53">
        <f t="shared" si="0"/>
        <v>140766.09999999998</v>
      </c>
      <c r="N7" s="53">
        <f t="shared" si="0"/>
        <v>4376825.6491</v>
      </c>
      <c r="O7" s="53">
        <f t="shared" si="0"/>
        <v>27972.04</v>
      </c>
      <c r="P7" s="53">
        <f>P32</f>
        <v>9.82</v>
      </c>
      <c r="Q7" s="53">
        <f t="shared" si="0"/>
        <v>4348843.7891000006</v>
      </c>
      <c r="W7" s="174" t="s">
        <v>15</v>
      </c>
      <c r="X7" s="284">
        <f>Q25+Q55+Q75+Q87+Q101+Q113+Q125+Q137+Q149+Q161+Q173+Q185+Q197+Q209</f>
        <v>60573562.380000003</v>
      </c>
      <c r="Y7" s="390" t="s">
        <v>461</v>
      </c>
    </row>
    <row r="8" spans="1:25" ht="12.75" customHeight="1">
      <c r="A8" s="49" t="str">
        <f>A35</f>
        <v>GENERAL COUNTY</v>
      </c>
      <c r="B8" s="48">
        <f t="shared" ref="B8:Q8" si="1">B63</f>
        <v>1.3385999999999998</v>
      </c>
      <c r="C8" s="48">
        <f t="shared" si="1"/>
        <v>0</v>
      </c>
      <c r="D8" s="43">
        <f t="shared" si="1"/>
        <v>43442</v>
      </c>
      <c r="E8" s="173"/>
      <c r="F8" s="43">
        <f t="shared" si="1"/>
        <v>2658204993.8478808</v>
      </c>
      <c r="G8" s="53">
        <f t="shared" si="1"/>
        <v>2324892.1072559995</v>
      </c>
      <c r="H8" s="53">
        <f t="shared" si="1"/>
        <v>34191077.033022001</v>
      </c>
      <c r="I8" s="53">
        <f t="shared" si="1"/>
        <v>0</v>
      </c>
      <c r="J8" s="53">
        <f t="shared" si="1"/>
        <v>943144.97000000009</v>
      </c>
      <c r="K8" s="53">
        <f t="shared" si="1"/>
        <v>310.27000000000004</v>
      </c>
      <c r="L8" s="53">
        <f t="shared" si="1"/>
        <v>35573134.440278001</v>
      </c>
      <c r="M8" s="53">
        <f t="shared" si="1"/>
        <v>1442534.5500000003</v>
      </c>
      <c r="N8" s="53">
        <f t="shared" si="1"/>
        <v>34130599.890277997</v>
      </c>
      <c r="O8" s="53">
        <f t="shared" si="1"/>
        <v>197114.01</v>
      </c>
      <c r="P8" s="53">
        <f>P63</f>
        <v>77.31</v>
      </c>
      <c r="Q8" s="53">
        <f t="shared" si="1"/>
        <v>33933408.570278004</v>
      </c>
      <c r="W8" s="171" t="s">
        <v>16</v>
      </c>
      <c r="X8" s="284">
        <f>Q26+Q57+Q76+Q88+Q102+Q114+Q126+Q138+Q150+Q162+Q174+Q186+Q198+Q210</f>
        <v>4125639.6280969991</v>
      </c>
    </row>
    <row r="9" spans="1:25" ht="12.75" customHeight="1">
      <c r="A9" s="47" t="str">
        <f>A73</f>
        <v>SCHOOL DISTRICT</v>
      </c>
      <c r="B9" s="48">
        <f t="shared" ref="B9:Q9" si="2">B96</f>
        <v>0.75</v>
      </c>
      <c r="C9" s="48">
        <f t="shared" si="2"/>
        <v>0</v>
      </c>
      <c r="D9" s="43">
        <f t="shared" si="2"/>
        <v>43442</v>
      </c>
      <c r="E9" s="173"/>
      <c r="F9" s="43">
        <f t="shared" si="2"/>
        <v>2658204943.5899997</v>
      </c>
      <c r="G9" s="53">
        <f t="shared" si="2"/>
        <v>1302606.42</v>
      </c>
      <c r="H9" s="53">
        <f t="shared" si="2"/>
        <v>19155841.512499999</v>
      </c>
      <c r="I9" s="53">
        <f t="shared" si="2"/>
        <v>0</v>
      </c>
      <c r="J9" s="53">
        <f t="shared" si="2"/>
        <v>528356.76</v>
      </c>
      <c r="K9" s="53">
        <f t="shared" si="2"/>
        <v>173.83</v>
      </c>
      <c r="L9" s="53">
        <f t="shared" si="2"/>
        <v>19930265.002499998</v>
      </c>
      <c r="M9" s="53">
        <f t="shared" si="2"/>
        <v>620694.36</v>
      </c>
      <c r="N9" s="53">
        <f t="shared" si="2"/>
        <v>19309570.642500002</v>
      </c>
      <c r="O9" s="53">
        <f t="shared" si="2"/>
        <v>129871.43</v>
      </c>
      <c r="P9" s="53">
        <f>P96</f>
        <v>43.31</v>
      </c>
      <c r="Q9" s="53">
        <f t="shared" si="2"/>
        <v>19179655.9025</v>
      </c>
      <c r="W9" s="171" t="s">
        <v>17</v>
      </c>
      <c r="X9" s="284">
        <f>Q27+Q58+Q77+Q89+Q103+Q115+Q127+Q139+Q151+Q163+Q175+Q187+Q199+Q211</f>
        <v>6602967.7357159993</v>
      </c>
    </row>
    <row r="10" spans="1:25" ht="12.75" customHeight="1">
      <c r="A10" s="49" t="str">
        <f>A99</f>
        <v>CITY OF CARLIN</v>
      </c>
      <c r="B10" s="48">
        <f t="shared" ref="B10:Q10" si="3">B108</f>
        <v>1.3480000000000001</v>
      </c>
      <c r="C10" s="48">
        <f t="shared" si="3"/>
        <v>0</v>
      </c>
      <c r="D10" s="43">
        <f t="shared" si="3"/>
        <v>950</v>
      </c>
      <c r="E10" s="173"/>
      <c r="F10" s="43">
        <f t="shared" si="3"/>
        <v>60025945.855697334</v>
      </c>
      <c r="G10" s="53">
        <f t="shared" si="3"/>
        <v>66763.082120000006</v>
      </c>
      <c r="H10" s="53">
        <f t="shared" si="3"/>
        <v>743433.64988000004</v>
      </c>
      <c r="I10" s="53">
        <f t="shared" si="3"/>
        <v>0</v>
      </c>
      <c r="J10" s="53">
        <f t="shared" si="3"/>
        <v>2272.5</v>
      </c>
      <c r="K10" s="53">
        <f t="shared" si="3"/>
        <v>15.39</v>
      </c>
      <c r="L10" s="53">
        <f t="shared" si="3"/>
        <v>807939.62199999997</v>
      </c>
      <c r="M10" s="53">
        <f t="shared" si="3"/>
        <v>45443.83</v>
      </c>
      <c r="N10" s="53">
        <f t="shared" si="3"/>
        <v>762495.79200000002</v>
      </c>
      <c r="O10" s="53">
        <f t="shared" si="3"/>
        <v>0</v>
      </c>
      <c r="P10" s="53">
        <f>P108</f>
        <v>0</v>
      </c>
      <c r="Q10" s="53">
        <f t="shared" si="3"/>
        <v>762495.79200000002</v>
      </c>
      <c r="S10" s="53">
        <f>SUM(L10:L13)</f>
        <v>15284652.481474999</v>
      </c>
      <c r="T10" s="53">
        <f>SUM(Q10:Q13)</f>
        <v>14417009.611475</v>
      </c>
      <c r="W10" s="171" t="s">
        <v>18</v>
      </c>
      <c r="X10" s="284"/>
    </row>
    <row r="11" spans="1:25" ht="12.75" customHeight="1">
      <c r="A11" s="49" t="str">
        <f>A111</f>
        <v>CITY OF ELKO</v>
      </c>
      <c r="B11" s="48">
        <f t="shared" ref="B11:Q11" si="4">B120</f>
        <v>1.2977000000000001</v>
      </c>
      <c r="C11" s="48">
        <f t="shared" si="4"/>
        <v>0</v>
      </c>
      <c r="D11" s="43">
        <f t="shared" si="4"/>
        <v>6595</v>
      </c>
      <c r="E11" s="173"/>
      <c r="F11" s="43">
        <f t="shared" si="4"/>
        <v>883127584.17482471</v>
      </c>
      <c r="G11" s="53">
        <f t="shared" si="4"/>
        <v>716390.05312100006</v>
      </c>
      <c r="H11" s="53">
        <f t="shared" si="4"/>
        <v>10755413.041088002</v>
      </c>
      <c r="I11" s="53">
        <f t="shared" si="4"/>
        <v>0</v>
      </c>
      <c r="J11" s="53">
        <f t="shared" si="4"/>
        <v>24316.79</v>
      </c>
      <c r="K11" s="53">
        <f t="shared" si="4"/>
        <v>79.42</v>
      </c>
      <c r="L11" s="53">
        <f t="shared" si="4"/>
        <v>11447565.724208999</v>
      </c>
      <c r="M11" s="53">
        <f t="shared" si="4"/>
        <v>524193.59</v>
      </c>
      <c r="N11" s="53">
        <f t="shared" si="4"/>
        <v>10923372.134209</v>
      </c>
      <c r="O11" s="53">
        <f>O120</f>
        <v>168437.7</v>
      </c>
      <c r="P11" s="53">
        <f>P120</f>
        <v>0</v>
      </c>
      <c r="Q11" s="53">
        <f t="shared" si="4"/>
        <v>10754934.434209</v>
      </c>
      <c r="W11" s="285" t="s">
        <v>19</v>
      </c>
      <c r="X11" s="284">
        <f>Q29+Q60+Q79+Q91+Q105+Q117+Q129+Q141+Q153+Q165+Q177+Q189+Q201+Q213</f>
        <v>6737886.0799999991</v>
      </c>
      <c r="Y11" s="390" t="s">
        <v>461</v>
      </c>
    </row>
    <row r="12" spans="1:25" ht="12.75" customHeight="1">
      <c r="A12" s="47" t="str">
        <f>A123</f>
        <v>CITY OF WELLS</v>
      </c>
      <c r="B12" s="48">
        <f t="shared" ref="B12:Q12" si="5">B132</f>
        <v>1.3513999999999999</v>
      </c>
      <c r="C12" s="48">
        <f t="shared" si="5"/>
        <v>0</v>
      </c>
      <c r="D12" s="43">
        <f t="shared" si="5"/>
        <v>819</v>
      </c>
      <c r="E12" s="173"/>
      <c r="F12" s="43">
        <f t="shared" si="5"/>
        <v>48407119.494629271</v>
      </c>
      <c r="G12" s="53">
        <f t="shared" si="5"/>
        <v>34140.254893999998</v>
      </c>
      <c r="H12" s="53">
        <f t="shared" si="5"/>
        <v>618379.35274600005</v>
      </c>
      <c r="I12" s="53">
        <f t="shared" si="5"/>
        <v>0</v>
      </c>
      <c r="J12" s="53">
        <f t="shared" si="5"/>
        <v>2319.3200000000002</v>
      </c>
      <c r="K12" s="53">
        <f t="shared" si="5"/>
        <v>0</v>
      </c>
      <c r="L12" s="53">
        <f t="shared" si="5"/>
        <v>650200.28764</v>
      </c>
      <c r="M12" s="53">
        <f t="shared" si="5"/>
        <v>41158.15</v>
      </c>
      <c r="N12" s="53">
        <f t="shared" si="5"/>
        <v>609042.13763999997</v>
      </c>
      <c r="O12" s="53">
        <f t="shared" si="5"/>
        <v>46912.799999999996</v>
      </c>
      <c r="P12" s="53">
        <f>P132</f>
        <v>0</v>
      </c>
      <c r="Q12" s="53">
        <f t="shared" si="5"/>
        <v>562129.33763999993</v>
      </c>
      <c r="W12" s="285" t="s">
        <v>20</v>
      </c>
      <c r="X12" s="284">
        <f>Q30+Q61+Q80+Q92+Q106+Q118+Q130+Q142+Q154+Q166+Q178+Q190+Q202+Q214</f>
        <v>488285.56999999995</v>
      </c>
      <c r="Y12" s="390"/>
    </row>
    <row r="13" spans="1:25" ht="12.75" customHeight="1">
      <c r="A13" s="47" t="str">
        <f>A135</f>
        <v>CITY OF WEST WENDOVER</v>
      </c>
      <c r="B13" s="48">
        <f t="shared" ref="B13:Q13" si="6">B144</f>
        <v>1.3513999999999999</v>
      </c>
      <c r="C13" s="48">
        <f t="shared" si="6"/>
        <v>0</v>
      </c>
      <c r="D13" s="43">
        <f t="shared" si="6"/>
        <v>827</v>
      </c>
      <c r="E13" s="173"/>
      <c r="F13" s="43">
        <f t="shared" si="6"/>
        <v>176070006.14785555</v>
      </c>
      <c r="G13" s="53">
        <f t="shared" si="6"/>
        <v>106009.75619599999</v>
      </c>
      <c r="H13" s="53">
        <f t="shared" si="6"/>
        <v>2273849.1214300003</v>
      </c>
      <c r="I13" s="53">
        <f t="shared" si="6"/>
        <v>0</v>
      </c>
      <c r="J13" s="53">
        <f t="shared" si="6"/>
        <v>912.03</v>
      </c>
      <c r="K13" s="53">
        <f t="shared" si="6"/>
        <v>0</v>
      </c>
      <c r="L13" s="53">
        <f t="shared" si="6"/>
        <v>2378946.8476259997</v>
      </c>
      <c r="M13" s="53">
        <f t="shared" si="6"/>
        <v>41496.800000000003</v>
      </c>
      <c r="N13" s="53">
        <f t="shared" si="6"/>
        <v>2337450.0476259999</v>
      </c>
      <c r="O13" s="53">
        <f t="shared" si="6"/>
        <v>0</v>
      </c>
      <c r="P13" s="53">
        <f>P144</f>
        <v>0</v>
      </c>
      <c r="Q13" s="53">
        <f t="shared" si="6"/>
        <v>2337450.0476259999</v>
      </c>
      <c r="W13" s="174"/>
      <c r="X13" s="284"/>
    </row>
    <row r="14" spans="1:25" ht="12.75" customHeight="1">
      <c r="A14" s="49" t="str">
        <f>A147</f>
        <v>JACKPOT TOWN</v>
      </c>
      <c r="B14" s="48">
        <f t="shared" ref="B14:Q14" si="7">B156</f>
        <v>0.58909999999999996</v>
      </c>
      <c r="C14" s="48">
        <f t="shared" si="7"/>
        <v>0</v>
      </c>
      <c r="D14" s="43">
        <f t="shared" si="7"/>
        <v>185</v>
      </c>
      <c r="E14" s="173"/>
      <c r="F14" s="43">
        <f t="shared" si="7"/>
        <v>38200051.812264465</v>
      </c>
      <c r="G14" s="53">
        <f t="shared" si="7"/>
        <v>12313.557787</v>
      </c>
      <c r="H14" s="53">
        <f t="shared" si="7"/>
        <v>213814.53531199999</v>
      </c>
      <c r="I14" s="53">
        <f t="shared" si="7"/>
        <v>0</v>
      </c>
      <c r="J14" s="53">
        <f t="shared" si="7"/>
        <v>155.5</v>
      </c>
      <c r="K14" s="53">
        <f t="shared" si="7"/>
        <v>93.05</v>
      </c>
      <c r="L14" s="53">
        <f t="shared" si="7"/>
        <v>226065.64309899998</v>
      </c>
      <c r="M14" s="53">
        <f t="shared" si="7"/>
        <v>6822.63</v>
      </c>
      <c r="N14" s="53">
        <f t="shared" si="7"/>
        <v>219243.01309899995</v>
      </c>
      <c r="O14" s="53">
        <f t="shared" si="7"/>
        <v>0</v>
      </c>
      <c r="P14" s="53">
        <f>P156</f>
        <v>0</v>
      </c>
      <c r="Q14" s="53">
        <f t="shared" si="7"/>
        <v>219243.01309899995</v>
      </c>
      <c r="S14" s="53">
        <f>SUM(L14:L16)</f>
        <v>253070.28127499999</v>
      </c>
      <c r="T14" s="53">
        <f>SUM(Q14:Q16)</f>
        <v>244955.39127499994</v>
      </c>
      <c r="W14" s="174"/>
      <c r="X14" s="284">
        <f>Q32+Q63+Q82+Q94+Q108+Q120+Q132+Q144+Q156+Q168+Q180+Q192+Q204+Q216</f>
        <v>78528341.393813014</v>
      </c>
    </row>
    <row r="15" spans="1:25" ht="12.75" customHeight="1">
      <c r="A15" s="55" t="str">
        <f>A159</f>
        <v>MONTELLO TOWN</v>
      </c>
      <c r="B15" s="48">
        <f t="shared" ref="B15:Q15" si="8">B168</f>
        <v>0.61719999999999997</v>
      </c>
      <c r="C15" s="48">
        <f t="shared" si="8"/>
        <v>0</v>
      </c>
      <c r="D15" s="43">
        <f t="shared" si="8"/>
        <v>167</v>
      </c>
      <c r="E15" s="173"/>
      <c r="F15" s="43">
        <f t="shared" si="8"/>
        <v>2372086.2400000002</v>
      </c>
      <c r="G15" s="53">
        <f t="shared" si="8"/>
        <v>217.40010800000002</v>
      </c>
      <c r="H15" s="53">
        <f t="shared" si="8"/>
        <v>14771.531832000001</v>
      </c>
      <c r="I15" s="53">
        <f t="shared" si="8"/>
        <v>0</v>
      </c>
      <c r="J15" s="53">
        <f t="shared" si="8"/>
        <v>348.95</v>
      </c>
      <c r="K15" s="53">
        <f t="shared" si="8"/>
        <v>0</v>
      </c>
      <c r="L15" s="53">
        <f t="shared" si="8"/>
        <v>14639.98194</v>
      </c>
      <c r="M15" s="53">
        <f t="shared" si="8"/>
        <v>612.03</v>
      </c>
      <c r="N15" s="53">
        <f t="shared" si="8"/>
        <v>14027.951939999999</v>
      </c>
      <c r="O15" s="53">
        <f t="shared" si="8"/>
        <v>0</v>
      </c>
      <c r="P15" s="53">
        <f>P168</f>
        <v>0</v>
      </c>
      <c r="Q15" s="53">
        <f t="shared" si="8"/>
        <v>14027.951939999999</v>
      </c>
    </row>
    <row r="16" spans="1:25" ht="12.75" customHeight="1">
      <c r="A16" s="49" t="str">
        <f>A171</f>
        <v>MOUNTAIN CITY TOWN</v>
      </c>
      <c r="B16" s="48">
        <f t="shared" ref="B16:Q16" si="9">B180</f>
        <v>0.43469999999999998</v>
      </c>
      <c r="C16" s="48">
        <f t="shared" si="9"/>
        <v>0</v>
      </c>
      <c r="D16" s="43">
        <f t="shared" si="9"/>
        <v>88</v>
      </c>
      <c r="E16" s="173"/>
      <c r="F16" s="43">
        <f t="shared" si="9"/>
        <v>2897209.1968875085</v>
      </c>
      <c r="G16" s="53">
        <f t="shared" si="9"/>
        <v>1580.96342</v>
      </c>
      <c r="H16" s="53">
        <f t="shared" si="9"/>
        <v>11045.842816</v>
      </c>
      <c r="I16" s="53">
        <f t="shared" si="9"/>
        <v>0</v>
      </c>
      <c r="J16" s="53">
        <f t="shared" si="9"/>
        <v>262.14999999999998</v>
      </c>
      <c r="K16" s="53">
        <f t="shared" si="9"/>
        <v>0</v>
      </c>
      <c r="L16" s="53">
        <f t="shared" si="9"/>
        <v>12364.656236000001</v>
      </c>
      <c r="M16" s="53">
        <f t="shared" si="9"/>
        <v>680.23</v>
      </c>
      <c r="N16" s="53">
        <f t="shared" si="9"/>
        <v>11684.426236000001</v>
      </c>
      <c r="O16" s="53">
        <f t="shared" si="9"/>
        <v>0</v>
      </c>
      <c r="P16" s="53">
        <f>P180</f>
        <v>0</v>
      </c>
      <c r="Q16" s="53">
        <f t="shared" si="9"/>
        <v>11684.426236000001</v>
      </c>
    </row>
    <row r="17" spans="1:20" ht="12.75" customHeight="1">
      <c r="A17" s="49" t="str">
        <f>A183</f>
        <v>ELKO CONVENTION &amp; VISITORS AUTHORITY</v>
      </c>
      <c r="B17" s="48">
        <f t="shared" ref="B17:Q17" si="10">B192</f>
        <v>3.9199999999999999E-2</v>
      </c>
      <c r="C17" s="48">
        <f t="shared" si="10"/>
        <v>0</v>
      </c>
      <c r="D17" s="43">
        <f t="shared" si="10"/>
        <v>26865</v>
      </c>
      <c r="E17" s="173"/>
      <c r="F17" s="43">
        <f t="shared" si="10"/>
        <v>1913404339.8910203</v>
      </c>
      <c r="G17" s="53">
        <f t="shared" si="10"/>
        <v>47668.648624000001</v>
      </c>
      <c r="H17" s="53">
        <f t="shared" si="10"/>
        <v>723787.56854399992</v>
      </c>
      <c r="I17" s="53">
        <f t="shared" si="10"/>
        <v>0</v>
      </c>
      <c r="J17" s="53">
        <f t="shared" si="10"/>
        <v>22078.7</v>
      </c>
      <c r="K17" s="53">
        <f t="shared" si="10"/>
        <v>2.41</v>
      </c>
      <c r="L17" s="53">
        <f t="shared" si="10"/>
        <v>749379.92716800002</v>
      </c>
      <c r="M17" s="53">
        <f t="shared" si="10"/>
        <v>25959.83</v>
      </c>
      <c r="N17" s="53">
        <f t="shared" si="10"/>
        <v>723420.09716799995</v>
      </c>
      <c r="O17" s="53">
        <f t="shared" si="10"/>
        <v>5426.72</v>
      </c>
      <c r="P17" s="53">
        <f>P192</f>
        <v>2.27</v>
      </c>
      <c r="Q17" s="53">
        <f t="shared" si="10"/>
        <v>717991.10716799996</v>
      </c>
      <c r="S17" s="53">
        <f>SUM(L17:L19)</f>
        <v>6648272.4691850003</v>
      </c>
      <c r="T17" s="53">
        <f>SUM(Q17:Q19)</f>
        <v>6404468.1291849986</v>
      </c>
    </row>
    <row r="18" spans="1:20" ht="12.75" customHeight="1">
      <c r="A18" s="49" t="str">
        <f>A195</f>
        <v>ELKO TELEVISION DISTRICT</v>
      </c>
      <c r="B18" s="48">
        <f t="shared" ref="B18:Q18" si="11">B204</f>
        <v>6.4500000000000002E-2</v>
      </c>
      <c r="C18" s="48">
        <f t="shared" si="11"/>
        <v>0</v>
      </c>
      <c r="D18" s="43">
        <f t="shared" si="11"/>
        <v>26650</v>
      </c>
      <c r="E18" s="173"/>
      <c r="F18" s="43">
        <f t="shared" si="11"/>
        <v>1873117967.4831007</v>
      </c>
      <c r="G18" s="53">
        <f t="shared" si="11"/>
        <v>59652.336674999999</v>
      </c>
      <c r="H18" s="53">
        <f t="shared" si="11"/>
        <v>1153639.7232499998</v>
      </c>
      <c r="I18" s="53">
        <f t="shared" si="11"/>
        <v>0</v>
      </c>
      <c r="J18" s="53">
        <f t="shared" si="11"/>
        <v>7102.01</v>
      </c>
      <c r="K18" s="53">
        <f t="shared" si="11"/>
        <v>3.95</v>
      </c>
      <c r="L18" s="53">
        <f t="shared" si="11"/>
        <v>1206193.9999249999</v>
      </c>
      <c r="M18" s="53">
        <f t="shared" si="11"/>
        <v>92058.23</v>
      </c>
      <c r="N18" s="53">
        <f t="shared" si="11"/>
        <v>1114135.7699249999</v>
      </c>
      <c r="O18" s="53">
        <f t="shared" si="11"/>
        <v>8869.2900000000009</v>
      </c>
      <c r="P18" s="53">
        <f>P204</f>
        <v>0</v>
      </c>
      <c r="Q18" s="53">
        <f t="shared" si="11"/>
        <v>1105266.4799249999</v>
      </c>
    </row>
    <row r="19" spans="1:20" s="14" customFormat="1" ht="12.75" customHeight="1">
      <c r="A19" s="14" t="s">
        <v>502</v>
      </c>
      <c r="B19" s="17">
        <f>B216</f>
        <v>0.31469999999999998</v>
      </c>
      <c r="C19" s="17">
        <f>C216</f>
        <v>0</v>
      </c>
      <c r="D19" s="13">
        <f>D216</f>
        <v>34251</v>
      </c>
      <c r="E19" s="223"/>
      <c r="F19" s="13">
        <f>F216</f>
        <v>1495463416.6720591</v>
      </c>
      <c r="G19" s="18">
        <f>G216</f>
        <v>324621.70469599997</v>
      </c>
      <c r="H19" s="18">
        <f t="shared" ref="H19:Q19" si="12">H216</f>
        <v>4582557.6673959997</v>
      </c>
      <c r="I19" s="18">
        <f t="shared" si="12"/>
        <v>0</v>
      </c>
      <c r="J19" s="18">
        <f t="shared" si="12"/>
        <v>214530.91</v>
      </c>
      <c r="K19" s="18">
        <f t="shared" si="12"/>
        <v>50.08</v>
      </c>
      <c r="L19" s="18">
        <f t="shared" si="12"/>
        <v>4692698.5420920001</v>
      </c>
      <c r="M19" s="18">
        <f t="shared" si="12"/>
        <v>111469.82999999999</v>
      </c>
      <c r="N19" s="18">
        <f t="shared" si="12"/>
        <v>4581228.7120919991</v>
      </c>
      <c r="O19" s="18">
        <f t="shared" si="12"/>
        <v>0</v>
      </c>
      <c r="P19" s="18">
        <f t="shared" si="12"/>
        <v>18.170000000000002</v>
      </c>
      <c r="Q19" s="18">
        <f t="shared" si="12"/>
        <v>4581210.5420919992</v>
      </c>
    </row>
    <row r="20" spans="1:20" ht="12.75" customHeight="1">
      <c r="A20" s="57" t="s">
        <v>14</v>
      </c>
      <c r="B20" s="51"/>
      <c r="C20" s="51"/>
      <c r="D20" s="556">
        <f>D7</f>
        <v>43442</v>
      </c>
      <c r="E20" s="557"/>
      <c r="F20" s="556">
        <f>F7</f>
        <v>2658204963.825294</v>
      </c>
      <c r="G20" s="558">
        <f t="shared" ref="G20:Q20" si="13">SUM(G7:G19)</f>
        <v>5292113.4780969992</v>
      </c>
      <c r="H20" s="558">
        <f t="shared" si="13"/>
        <v>78779672.135715976</v>
      </c>
      <c r="I20" s="558">
        <f t="shared" si="13"/>
        <v>0</v>
      </c>
      <c r="J20" s="558">
        <f t="shared" si="13"/>
        <v>1865566.99</v>
      </c>
      <c r="K20" s="558">
        <f t="shared" si="13"/>
        <v>767.8</v>
      </c>
      <c r="L20" s="558">
        <f t="shared" si="13"/>
        <v>82206986.423812985</v>
      </c>
      <c r="M20" s="558">
        <f t="shared" si="13"/>
        <v>3093890.1599999997</v>
      </c>
      <c r="N20" s="558">
        <f t="shared" si="13"/>
        <v>79113096.263813004</v>
      </c>
      <c r="O20" s="558">
        <f t="shared" si="13"/>
        <v>584603.99</v>
      </c>
      <c r="P20" s="558">
        <f t="shared" si="13"/>
        <v>150.88</v>
      </c>
      <c r="Q20" s="558">
        <f t="shared" si="13"/>
        <v>78528341.393813014</v>
      </c>
    </row>
    <row r="21" spans="1:20" ht="12.75" customHeight="1" thickBot="1">
      <c r="A21" s="60"/>
      <c r="B21" s="61"/>
      <c r="C21" s="61"/>
      <c r="D21" s="62"/>
      <c r="E21" s="215"/>
      <c r="F21" s="62"/>
      <c r="G21" s="63"/>
      <c r="H21" s="63"/>
      <c r="I21" s="63"/>
      <c r="J21" s="63"/>
      <c r="K21" s="63"/>
      <c r="L21" s="279"/>
      <c r="M21" s="280">
        <f>M20/L20</f>
        <v>3.763536768091269E-2</v>
      </c>
      <c r="N21" s="510" t="s">
        <v>557</v>
      </c>
      <c r="O21" s="511"/>
      <c r="P21" s="511"/>
      <c r="Q21" s="559"/>
      <c r="R21" s="457"/>
    </row>
    <row r="22" spans="1:20" ht="12.75" customHeight="1">
      <c r="A22" s="50"/>
      <c r="B22" s="51"/>
      <c r="C22" s="51"/>
      <c r="D22" s="52"/>
      <c r="E22" s="203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T22" s="457">
        <f>764570.68+188904.14</f>
        <v>953474.82000000007</v>
      </c>
    </row>
    <row r="23" spans="1:20" ht="12.75" customHeight="1">
      <c r="A23" s="54" t="s">
        <v>11</v>
      </c>
      <c r="B23" s="51"/>
      <c r="C23" s="51"/>
      <c r="D23" s="52"/>
      <c r="E23" s="203"/>
      <c r="F23" s="52"/>
      <c r="G23" s="64">
        <f>G25/B25*100</f>
        <v>15635411.764705883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20" ht="12.75" customHeight="1">
      <c r="A24" s="47"/>
      <c r="B24" s="48"/>
      <c r="C24" s="48"/>
      <c r="D24" s="43"/>
      <c r="E24" s="65">
        <v>149422796</v>
      </c>
      <c r="F24" s="4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20" ht="12.75" customHeight="1">
      <c r="A25" s="49" t="s">
        <v>15</v>
      </c>
      <c r="B25" s="48">
        <v>0.17</v>
      </c>
      <c r="C25" s="48">
        <v>0</v>
      </c>
      <c r="D25" s="382">
        <v>43442</v>
      </c>
      <c r="E25" s="173">
        <f>G25/B25*100</f>
        <v>15635411.764705883</v>
      </c>
      <c r="F25" s="382">
        <v>2031053152</v>
      </c>
      <c r="G25" s="53">
        <v>26580.2</v>
      </c>
      <c r="H25" s="53">
        <v>3536233.51</v>
      </c>
      <c r="I25" s="53">
        <v>0</v>
      </c>
      <c r="J25" s="53">
        <v>111418.71</v>
      </c>
      <c r="K25" s="53">
        <v>39.4</v>
      </c>
      <c r="L25" s="53">
        <f>G25+H25+I25-J25+K25</f>
        <v>3451434.4</v>
      </c>
      <c r="M25" s="53">
        <v>132452.94</v>
      </c>
      <c r="N25" s="53">
        <f>L25-M25</f>
        <v>3318981.46</v>
      </c>
      <c r="O25" s="53">
        <v>27972.04</v>
      </c>
      <c r="P25" s="53">
        <v>9.82</v>
      </c>
      <c r="Q25" s="53">
        <f>N25-O25-P25</f>
        <v>3290999.6</v>
      </c>
    </row>
    <row r="26" spans="1:20" ht="12.75" customHeight="1">
      <c r="A26" s="47" t="s">
        <v>16</v>
      </c>
      <c r="B26" s="48">
        <f>B25</f>
        <v>0.17</v>
      </c>
      <c r="C26" s="48"/>
      <c r="D26" s="43"/>
      <c r="E26" s="173">
        <v>15635407</v>
      </c>
      <c r="F26" s="65">
        <f>IF(E24&gt;E25,E24-E25,0)</f>
        <v>133787384.23529412</v>
      </c>
      <c r="G26" s="53">
        <f>F26*(B26-C26)/100</f>
        <v>227438.55319999999</v>
      </c>
      <c r="H26" s="53"/>
      <c r="I26" s="53">
        <f>F26*C26/100</f>
        <v>0</v>
      </c>
      <c r="J26" s="53">
        <v>0</v>
      </c>
      <c r="K26" s="53">
        <v>0</v>
      </c>
      <c r="L26" s="53">
        <f>G26+H26+I26-J26+K26</f>
        <v>227438.55319999999</v>
      </c>
      <c r="M26" s="53"/>
      <c r="N26" s="53">
        <f>L26-M26</f>
        <v>227438.55319999999</v>
      </c>
      <c r="O26" s="53"/>
      <c r="P26" s="53"/>
      <c r="Q26" s="53">
        <f>N26-O26-P26</f>
        <v>227438.55319999999</v>
      </c>
    </row>
    <row r="27" spans="1:20" ht="12.75" customHeight="1">
      <c r="A27" s="47" t="s">
        <v>17</v>
      </c>
      <c r="B27" s="48">
        <f>B25</f>
        <v>0.17</v>
      </c>
      <c r="C27" s="48"/>
      <c r="D27" s="43"/>
      <c r="E27" s="173"/>
      <c r="F27" s="66">
        <v>215880627</v>
      </c>
      <c r="G27" s="53"/>
      <c r="H27" s="53">
        <f>F27*(B27-C27)/100</f>
        <v>366997.06590000005</v>
      </c>
      <c r="I27" s="53">
        <f>F27*C27/100</f>
        <v>0</v>
      </c>
      <c r="J27" s="53">
        <v>0</v>
      </c>
      <c r="K27" s="53">
        <v>0</v>
      </c>
      <c r="L27" s="53">
        <f>G27+H27+I27-J27+K27</f>
        <v>366997.06590000005</v>
      </c>
      <c r="M27" s="53">
        <v>0</v>
      </c>
      <c r="N27" s="53">
        <f>L27-M27</f>
        <v>366997.06590000005</v>
      </c>
      <c r="O27" s="53">
        <v>0</v>
      </c>
      <c r="P27" s="53">
        <v>0</v>
      </c>
      <c r="Q27" s="53">
        <f>N27-O27-P27</f>
        <v>366997.06590000005</v>
      </c>
    </row>
    <row r="28" spans="1:20" ht="12.75" customHeight="1">
      <c r="A28" s="47" t="s">
        <v>18</v>
      </c>
      <c r="B28" s="48">
        <f>B25</f>
        <v>0.17</v>
      </c>
      <c r="C28" s="48"/>
      <c r="D28" s="43"/>
      <c r="E28" s="173"/>
      <c r="F28" s="4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1:20" ht="12.75" customHeight="1">
      <c r="A29" s="67" t="s">
        <v>19</v>
      </c>
      <c r="B29" s="48">
        <f>B25</f>
        <v>0.17</v>
      </c>
      <c r="C29" s="48"/>
      <c r="D29" s="43"/>
      <c r="E29" s="173"/>
      <c r="F29" s="43">
        <v>260003168.59999999</v>
      </c>
      <c r="G29" s="53">
        <v>14031.65</v>
      </c>
      <c r="H29" s="53">
        <v>436321.46</v>
      </c>
      <c r="I29" s="53">
        <v>0</v>
      </c>
      <c r="J29" s="53">
        <v>8347.69</v>
      </c>
      <c r="K29" s="53">
        <v>0</v>
      </c>
      <c r="L29" s="53">
        <f>G29+H29+I29-J29+K29</f>
        <v>442005.42000000004</v>
      </c>
      <c r="M29" s="53">
        <v>8309.36</v>
      </c>
      <c r="N29" s="53">
        <f>L29-M29</f>
        <v>433696.06000000006</v>
      </c>
      <c r="O29" s="53">
        <v>0</v>
      </c>
      <c r="P29" s="53">
        <v>0</v>
      </c>
      <c r="Q29" s="53">
        <f>N29-O29-P29</f>
        <v>433696.06000000006</v>
      </c>
    </row>
    <row r="30" spans="1:20" ht="12.75" customHeight="1">
      <c r="A30" s="67" t="s">
        <v>20</v>
      </c>
      <c r="B30" s="48">
        <f>B25</f>
        <v>0.17</v>
      </c>
      <c r="C30" s="48"/>
      <c r="D30" s="43"/>
      <c r="E30" s="173"/>
      <c r="F30" s="43">
        <v>17480631.989999998</v>
      </c>
      <c r="G30" s="53">
        <v>27206.79</v>
      </c>
      <c r="H30" s="53">
        <v>2509.52</v>
      </c>
      <c r="I30" s="53">
        <v>0</v>
      </c>
      <c r="J30" s="53">
        <v>0</v>
      </c>
      <c r="K30" s="53">
        <v>0</v>
      </c>
      <c r="L30" s="53">
        <f>G30+H30+I30-J30+K30</f>
        <v>29716.31</v>
      </c>
      <c r="M30" s="53">
        <v>3.8</v>
      </c>
      <c r="N30" s="53">
        <f>L30-M30</f>
        <v>29712.510000000002</v>
      </c>
      <c r="O30" s="53">
        <v>0</v>
      </c>
      <c r="P30" s="53"/>
      <c r="Q30" s="53">
        <f>N30-O30-P30</f>
        <v>29712.510000000002</v>
      </c>
    </row>
    <row r="31" spans="1:20" ht="12.75" customHeight="1">
      <c r="A31" s="47"/>
      <c r="B31" s="48"/>
      <c r="C31" s="48"/>
      <c r="D31" s="43"/>
      <c r="E31" s="173"/>
      <c r="F31" s="4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</row>
    <row r="32" spans="1:20" s="50" customFormat="1" ht="12.75" customHeight="1" thickBot="1">
      <c r="A32" s="60" t="str">
        <f>"TOTAL "&amp;A23</f>
        <v>TOTAL STATE OF NEVADA</v>
      </c>
      <c r="B32" s="68">
        <f>B25</f>
        <v>0.17</v>
      </c>
      <c r="C32" s="68">
        <f>C25</f>
        <v>0</v>
      </c>
      <c r="D32" s="69">
        <f t="shared" ref="D32:Q32" si="14">SUM(D25:D27,D29:D30)</f>
        <v>43442</v>
      </c>
      <c r="E32" s="204"/>
      <c r="F32" s="69">
        <f t="shared" si="14"/>
        <v>2658204963.825294</v>
      </c>
      <c r="G32" s="70">
        <f t="shared" si="14"/>
        <v>295257.19319999998</v>
      </c>
      <c r="H32" s="70">
        <f t="shared" si="14"/>
        <v>4342061.5558999991</v>
      </c>
      <c r="I32" s="70">
        <f t="shared" si="14"/>
        <v>0</v>
      </c>
      <c r="J32" s="70">
        <f t="shared" si="14"/>
        <v>119766.40000000001</v>
      </c>
      <c r="K32" s="70">
        <f t="shared" si="14"/>
        <v>39.4</v>
      </c>
      <c r="L32" s="70">
        <f t="shared" si="14"/>
        <v>4517591.7490999997</v>
      </c>
      <c r="M32" s="70">
        <f t="shared" si="14"/>
        <v>140766.09999999998</v>
      </c>
      <c r="N32" s="70">
        <f t="shared" si="14"/>
        <v>4376825.6491</v>
      </c>
      <c r="O32" s="70">
        <f t="shared" si="14"/>
        <v>27972.04</v>
      </c>
      <c r="P32" s="70">
        <f t="shared" si="14"/>
        <v>9.82</v>
      </c>
      <c r="Q32" s="70">
        <f t="shared" si="14"/>
        <v>4348843.7891000006</v>
      </c>
    </row>
    <row r="33" spans="1:22" ht="12.75" customHeight="1">
      <c r="A33" s="150" t="s">
        <v>355</v>
      </c>
      <c r="B33" s="48"/>
      <c r="C33" s="48"/>
      <c r="D33" s="43"/>
      <c r="E33" s="173"/>
      <c r="F33" s="64">
        <v>2658204969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1:22" ht="12.75" customHeight="1">
      <c r="A34" s="151" t="s">
        <v>30</v>
      </c>
      <c r="B34" s="51"/>
      <c r="C34" s="51"/>
      <c r="D34" s="52"/>
      <c r="E34" s="203"/>
      <c r="F34" s="152">
        <f>F32-F33</f>
        <v>-5.174705982208252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T34" s="266" t="s">
        <v>378</v>
      </c>
      <c r="U34" s="266" t="s">
        <v>384</v>
      </c>
      <c r="V34" s="266" t="s">
        <v>227</v>
      </c>
    </row>
    <row r="35" spans="1:22" ht="12.75" customHeight="1">
      <c r="A35" s="54" t="s">
        <v>12</v>
      </c>
      <c r="B35" s="48"/>
      <c r="C35" s="48"/>
      <c r="D35" s="43"/>
      <c r="E35" s="173"/>
      <c r="F35" s="43"/>
      <c r="G35" s="64"/>
      <c r="H35" s="53"/>
      <c r="I35" s="53"/>
      <c r="J35" s="53"/>
      <c r="K35" s="53"/>
      <c r="L35" s="53"/>
      <c r="M35" s="53"/>
      <c r="N35" s="53"/>
      <c r="O35" s="53"/>
      <c r="P35" s="53"/>
      <c r="Q35" s="53"/>
      <c r="T35" s="266" t="s">
        <v>379</v>
      </c>
      <c r="U35" s="266" t="s">
        <v>385</v>
      </c>
      <c r="V35" s="266" t="s">
        <v>382</v>
      </c>
    </row>
    <row r="36" spans="1:22" ht="12.75" customHeight="1">
      <c r="A36" s="47"/>
      <c r="B36" s="48"/>
      <c r="C36" s="48"/>
      <c r="D36" s="43"/>
      <c r="E36" s="173"/>
      <c r="F36" s="463">
        <f>(G55+H55)/B55*100</f>
        <v>2095860154.6391754</v>
      </c>
      <c r="G36" s="13"/>
      <c r="H36" s="463">
        <f>F36-J36</f>
        <v>2030312998.6553116</v>
      </c>
      <c r="I36" s="13"/>
      <c r="J36" s="463">
        <f>J55/B55*100</f>
        <v>65547155.983863756</v>
      </c>
      <c r="K36" s="53"/>
      <c r="L36" s="53"/>
      <c r="M36" s="53"/>
      <c r="N36" s="53"/>
      <c r="O36" s="53"/>
      <c r="P36" s="53"/>
      <c r="Q36" s="53"/>
      <c r="T36" s="266"/>
      <c r="U36" s="266" t="s">
        <v>381</v>
      </c>
      <c r="V36" s="266" t="s">
        <v>383</v>
      </c>
    </row>
    <row r="37" spans="1:22" ht="12.75" customHeight="1">
      <c r="A37" s="49" t="s">
        <v>15</v>
      </c>
      <c r="B37" s="48"/>
      <c r="C37" s="48"/>
      <c r="D37" s="43"/>
      <c r="E37" s="173"/>
      <c r="F37" s="4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T37" s="266"/>
      <c r="U37" s="266"/>
      <c r="V37" s="266"/>
    </row>
    <row r="38" spans="1:22" ht="12.75" customHeight="1">
      <c r="A38" s="103" t="s">
        <v>85</v>
      </c>
      <c r="B38" s="402">
        <v>0.51559999999999995</v>
      </c>
      <c r="C38" s="48">
        <v>0</v>
      </c>
      <c r="D38" s="382">
        <v>43442</v>
      </c>
      <c r="E38" s="173"/>
      <c r="F38" s="43">
        <v>2031053152</v>
      </c>
      <c r="G38" s="53">
        <v>80616.03</v>
      </c>
      <c r="H38" s="53">
        <v>10724817.800000001</v>
      </c>
      <c r="I38" s="18">
        <v>0</v>
      </c>
      <c r="J38" s="53">
        <v>337908.69</v>
      </c>
      <c r="K38" s="53">
        <v>119.53</v>
      </c>
      <c r="L38" s="53">
        <f>G38+H38+I38-J38+K38</f>
        <v>10467644.67</v>
      </c>
      <c r="M38" s="274">
        <v>417046.83</v>
      </c>
      <c r="N38" s="53">
        <f t="shared" ref="N38:N54" si="15">L38-M38</f>
        <v>10050597.84</v>
      </c>
      <c r="O38" s="53">
        <v>89046.51</v>
      </c>
      <c r="P38" s="53">
        <v>29.78</v>
      </c>
      <c r="Q38" s="53">
        <f>N38-O38-P38</f>
        <v>9961521.5500000007</v>
      </c>
      <c r="T38" s="267">
        <f t="shared" ref="T38:T54" si="16">B38/$B$55</f>
        <v>0.38517854474824448</v>
      </c>
      <c r="U38" s="153">
        <f t="shared" ref="U38:U54" si="17">$T$61*T38</f>
        <v>3086838.2562343767</v>
      </c>
      <c r="V38" s="153">
        <f>Q38+U38</f>
        <v>13048359.806234378</v>
      </c>
    </row>
    <row r="39" spans="1:22" ht="12.75" customHeight="1">
      <c r="A39" s="103" t="s">
        <v>86</v>
      </c>
      <c r="B39" s="402">
        <v>0.03</v>
      </c>
      <c r="C39" s="48">
        <v>0</v>
      </c>
      <c r="D39" s="382">
        <v>43442</v>
      </c>
      <c r="E39" s="173"/>
      <c r="F39" s="43">
        <v>2031053152</v>
      </c>
      <c r="G39" s="53">
        <v>4690.46</v>
      </c>
      <c r="H39" s="53">
        <v>624033.92000000004</v>
      </c>
      <c r="I39" s="53">
        <v>0</v>
      </c>
      <c r="J39" s="53">
        <v>19660.88</v>
      </c>
      <c r="K39" s="53">
        <v>6.97</v>
      </c>
      <c r="L39" s="53">
        <f t="shared" ref="L39:L54" si="18">G39+H39+I39-J39+K39</f>
        <v>609070.47</v>
      </c>
      <c r="M39" s="53">
        <v>23361.27</v>
      </c>
      <c r="N39" s="53">
        <f t="shared" si="15"/>
        <v>585709.19999999995</v>
      </c>
      <c r="O39" s="53">
        <v>5186.28</v>
      </c>
      <c r="P39" s="53">
        <v>1.73</v>
      </c>
      <c r="Q39" s="53">
        <f t="shared" ref="Q39:Q54" si="19">N39-O39-P39</f>
        <v>580521.18999999994</v>
      </c>
      <c r="T39" s="267">
        <f t="shared" si="16"/>
        <v>2.241147467503362E-2</v>
      </c>
      <c r="U39" s="153">
        <f t="shared" si="17"/>
        <v>179606.57037826086</v>
      </c>
      <c r="V39" s="153">
        <f t="shared" ref="V39:V43" si="20">Q39+U39</f>
        <v>760127.76037826086</v>
      </c>
    </row>
    <row r="40" spans="1:22" ht="12.75" customHeight="1">
      <c r="A40" s="103" t="s">
        <v>87</v>
      </c>
      <c r="B40" s="402">
        <v>0.01</v>
      </c>
      <c r="C40" s="48">
        <v>0</v>
      </c>
      <c r="D40" s="382">
        <v>43442</v>
      </c>
      <c r="E40" s="173"/>
      <c r="F40" s="43">
        <v>2031053152</v>
      </c>
      <c r="G40" s="53">
        <v>1563.31</v>
      </c>
      <c r="H40" s="53">
        <v>207998.68</v>
      </c>
      <c r="I40" s="53">
        <v>0</v>
      </c>
      <c r="J40" s="53">
        <v>6552.7</v>
      </c>
      <c r="K40" s="53">
        <v>2.31</v>
      </c>
      <c r="L40" s="53">
        <f t="shared" si="18"/>
        <v>203011.59999999998</v>
      </c>
      <c r="M40" s="53">
        <v>7788.1</v>
      </c>
      <c r="N40" s="53">
        <f t="shared" si="15"/>
        <v>195223.49999999997</v>
      </c>
      <c r="O40" s="53">
        <v>1728.58</v>
      </c>
      <c r="P40" s="53">
        <v>0.57999999999999996</v>
      </c>
      <c r="Q40" s="53">
        <f t="shared" si="19"/>
        <v>193494.34</v>
      </c>
      <c r="T40" s="267">
        <f t="shared" si="16"/>
        <v>7.47049155834454E-3</v>
      </c>
      <c r="U40" s="153">
        <f t="shared" si="17"/>
        <v>59868.856792753621</v>
      </c>
      <c r="V40" s="153">
        <f t="shared" si="20"/>
        <v>253363.19679275362</v>
      </c>
    </row>
    <row r="41" spans="1:22" ht="12.75" customHeight="1">
      <c r="A41" s="103" t="s">
        <v>88</v>
      </c>
      <c r="B41" s="402">
        <v>2.7E-2</v>
      </c>
      <c r="C41" s="48">
        <v>0</v>
      </c>
      <c r="D41" s="382">
        <v>43442</v>
      </c>
      <c r="E41" s="173"/>
      <c r="F41" s="43">
        <v>2031053152</v>
      </c>
      <c r="G41" s="53">
        <v>4221.75</v>
      </c>
      <c r="H41" s="53">
        <v>561616.93000000005</v>
      </c>
      <c r="I41" s="53">
        <v>0</v>
      </c>
      <c r="J41" s="53">
        <v>17694.2</v>
      </c>
      <c r="K41" s="53">
        <v>6.25</v>
      </c>
      <c r="L41" s="53">
        <f t="shared" si="18"/>
        <v>548150.7300000001</v>
      </c>
      <c r="M41" s="53">
        <v>21111.24</v>
      </c>
      <c r="N41" s="53">
        <f t="shared" si="15"/>
        <v>527039.49000000011</v>
      </c>
      <c r="O41" s="53">
        <v>4667.0200000000004</v>
      </c>
      <c r="P41" s="53">
        <v>1.56</v>
      </c>
      <c r="Q41" s="53">
        <f t="shared" si="19"/>
        <v>522370.91000000009</v>
      </c>
      <c r="T41" s="267">
        <f t="shared" si="16"/>
        <v>2.0170327207530259E-2</v>
      </c>
      <c r="U41" s="153">
        <f t="shared" si="17"/>
        <v>161645.91334043478</v>
      </c>
      <c r="V41" s="153">
        <f t="shared" si="20"/>
        <v>684016.82334043481</v>
      </c>
    </row>
    <row r="42" spans="1:22" ht="12.75" customHeight="1">
      <c r="A42" s="103" t="s">
        <v>89</v>
      </c>
      <c r="B42" s="402">
        <v>7.7899999999999997E-2</v>
      </c>
      <c r="C42" s="48">
        <v>0</v>
      </c>
      <c r="D42" s="382">
        <v>43442</v>
      </c>
      <c r="E42" s="173"/>
      <c r="F42" s="43">
        <v>2031053152</v>
      </c>
      <c r="G42" s="53">
        <v>12180.13</v>
      </c>
      <c r="H42" s="53">
        <v>1620398.49</v>
      </c>
      <c r="I42" s="53">
        <v>0</v>
      </c>
      <c r="J42" s="53">
        <v>51054.79</v>
      </c>
      <c r="K42" s="53">
        <v>18.05</v>
      </c>
      <c r="L42" s="53">
        <f t="shared" si="18"/>
        <v>1581541.88</v>
      </c>
      <c r="M42" s="53">
        <v>60663.1</v>
      </c>
      <c r="N42" s="53">
        <f t="shared" si="15"/>
        <v>1520878.7799999998</v>
      </c>
      <c r="O42" s="53">
        <v>13467.3</v>
      </c>
      <c r="P42" s="53">
        <v>4.5</v>
      </c>
      <c r="Q42" s="53">
        <f t="shared" si="19"/>
        <v>1507406.9799999997</v>
      </c>
      <c r="T42" s="267">
        <f t="shared" si="16"/>
        <v>5.8195129239503963E-2</v>
      </c>
      <c r="U42" s="153">
        <f t="shared" si="17"/>
        <v>466378.39441555069</v>
      </c>
      <c r="V42" s="153">
        <f t="shared" si="20"/>
        <v>1973785.3744155504</v>
      </c>
    </row>
    <row r="43" spans="1:22" ht="12.75" customHeight="1">
      <c r="A43" s="103" t="s">
        <v>90</v>
      </c>
      <c r="B43" s="402">
        <v>0.02</v>
      </c>
      <c r="C43" s="48">
        <v>0</v>
      </c>
      <c r="D43" s="382">
        <v>43442</v>
      </c>
      <c r="E43" s="173"/>
      <c r="F43" s="43">
        <v>2031053152</v>
      </c>
      <c r="G43" s="53">
        <v>3127.1</v>
      </c>
      <c r="H43" s="53">
        <v>416025.55</v>
      </c>
      <c r="I43" s="53">
        <v>0</v>
      </c>
      <c r="J43" s="53">
        <v>13107.43</v>
      </c>
      <c r="K43" s="53">
        <v>4.6399999999999997</v>
      </c>
      <c r="L43" s="53">
        <f t="shared" si="18"/>
        <v>406049.86</v>
      </c>
      <c r="M43" s="53">
        <v>15573.25</v>
      </c>
      <c r="N43" s="53">
        <f t="shared" si="15"/>
        <v>390476.61</v>
      </c>
      <c r="O43" s="53">
        <v>3457.35</v>
      </c>
      <c r="P43" s="53">
        <v>1.1599999999999999</v>
      </c>
      <c r="Q43" s="53">
        <f t="shared" si="19"/>
        <v>387018.10000000003</v>
      </c>
      <c r="T43" s="267">
        <f t="shared" si="16"/>
        <v>1.494098311668908E-2</v>
      </c>
      <c r="U43" s="153">
        <f t="shared" si="17"/>
        <v>119737.71358550724</v>
      </c>
      <c r="V43" s="153">
        <f t="shared" si="20"/>
        <v>506755.81358550728</v>
      </c>
    </row>
    <row r="44" spans="1:22" ht="12.75" customHeight="1">
      <c r="A44" s="103" t="s">
        <v>91</v>
      </c>
      <c r="B44" s="402">
        <v>9.7000000000000003E-3</v>
      </c>
      <c r="C44" s="48">
        <v>0</v>
      </c>
      <c r="D44" s="382">
        <v>43442</v>
      </c>
      <c r="E44" s="173"/>
      <c r="F44" s="43">
        <v>2031053152</v>
      </c>
      <c r="G44" s="53">
        <v>1516.56</v>
      </c>
      <c r="H44" s="53">
        <v>201761.61</v>
      </c>
      <c r="I44" s="53">
        <v>0</v>
      </c>
      <c r="J44" s="53">
        <v>6356.82</v>
      </c>
      <c r="K44" s="53">
        <v>2.2400000000000002</v>
      </c>
      <c r="L44" s="53">
        <f t="shared" si="18"/>
        <v>196923.58999999997</v>
      </c>
      <c r="M44" s="53">
        <v>7554.14</v>
      </c>
      <c r="N44" s="53">
        <f t="shared" si="15"/>
        <v>189369.44999999995</v>
      </c>
      <c r="O44" s="53">
        <v>1676.95</v>
      </c>
      <c r="P44" s="53">
        <v>0.56000000000000005</v>
      </c>
      <c r="Q44" s="53">
        <f t="shared" si="19"/>
        <v>187691.93999999994</v>
      </c>
      <c r="T44" s="267">
        <f t="shared" si="16"/>
        <v>7.2463768115942039E-3</v>
      </c>
      <c r="U44" s="153">
        <f t="shared" si="17"/>
        <v>58072.791088971011</v>
      </c>
      <c r="V44" s="153">
        <f t="shared" ref="V44:V53" si="21">Q44+U44</f>
        <v>245764.73108897096</v>
      </c>
    </row>
    <row r="45" spans="1:22" ht="12.75" customHeight="1">
      <c r="A45" s="103" t="s">
        <v>92</v>
      </c>
      <c r="B45" s="402">
        <v>7.0000000000000007E-2</v>
      </c>
      <c r="C45" s="48">
        <v>0</v>
      </c>
      <c r="D45" s="382">
        <v>43442</v>
      </c>
      <c r="E45" s="173"/>
      <c r="F45" s="43">
        <v>2031053152</v>
      </c>
      <c r="G45" s="53">
        <v>10944.8</v>
      </c>
      <c r="H45" s="53">
        <v>1456065.79</v>
      </c>
      <c r="I45" s="53">
        <v>0</v>
      </c>
      <c r="J45" s="53">
        <v>45876.01</v>
      </c>
      <c r="K45" s="53">
        <v>16.22</v>
      </c>
      <c r="L45" s="53">
        <f t="shared" si="18"/>
        <v>1421150.8</v>
      </c>
      <c r="M45" s="53">
        <v>54540.57</v>
      </c>
      <c r="N45" s="53">
        <f t="shared" si="15"/>
        <v>1366610.23</v>
      </c>
      <c r="O45" s="53">
        <v>12100.85</v>
      </c>
      <c r="P45" s="53">
        <v>4.04</v>
      </c>
      <c r="Q45" s="53">
        <f t="shared" si="19"/>
        <v>1354505.3399999999</v>
      </c>
      <c r="T45" s="267">
        <f t="shared" si="16"/>
        <v>5.2293440908411787E-2</v>
      </c>
      <c r="U45" s="153">
        <f t="shared" si="17"/>
        <v>419081.9975492754</v>
      </c>
      <c r="V45" s="153">
        <f t="shared" si="21"/>
        <v>1773587.3375492753</v>
      </c>
    </row>
    <row r="46" spans="1:22" ht="12.75" customHeight="1">
      <c r="A46" s="103" t="s">
        <v>94</v>
      </c>
      <c r="B46" s="402">
        <v>1.4999999999999999E-2</v>
      </c>
      <c r="C46" s="48">
        <v>0</v>
      </c>
      <c r="D46" s="382">
        <v>43442</v>
      </c>
      <c r="E46" s="173"/>
      <c r="F46" s="43">
        <v>2031053152</v>
      </c>
      <c r="G46" s="53">
        <v>2345.3200000000002</v>
      </c>
      <c r="H46" s="53">
        <v>312028.14</v>
      </c>
      <c r="I46" s="53">
        <v>0</v>
      </c>
      <c r="J46" s="53">
        <v>9831.2000000000007</v>
      </c>
      <c r="K46" s="53">
        <v>3.48</v>
      </c>
      <c r="L46" s="53">
        <f t="shared" si="18"/>
        <v>304545.74</v>
      </c>
      <c r="M46" s="53">
        <v>11680.95</v>
      </c>
      <c r="N46" s="53">
        <f t="shared" si="15"/>
        <v>292864.78999999998</v>
      </c>
      <c r="O46" s="53">
        <v>2593.0100000000002</v>
      </c>
      <c r="P46" s="53">
        <v>0.86</v>
      </c>
      <c r="Q46" s="53">
        <f t="shared" si="19"/>
        <v>290270.92</v>
      </c>
      <c r="T46" s="267">
        <f t="shared" si="16"/>
        <v>1.120573733751681E-2</v>
      </c>
      <c r="U46" s="153">
        <f t="shared" si="17"/>
        <v>89803.285189130431</v>
      </c>
      <c r="V46" s="153">
        <f t="shared" si="21"/>
        <v>380074.20518913039</v>
      </c>
    </row>
    <row r="47" spans="1:22" ht="12.75" customHeight="1">
      <c r="A47" s="103" t="s">
        <v>95</v>
      </c>
      <c r="B47" s="402">
        <v>7.1999999999999998E-3</v>
      </c>
      <c r="C47" s="48">
        <v>0</v>
      </c>
      <c r="D47" s="382">
        <v>43442</v>
      </c>
      <c r="E47" s="173"/>
      <c r="F47" s="43">
        <v>2031053152</v>
      </c>
      <c r="G47" s="53">
        <v>1125.6600000000001</v>
      </c>
      <c r="H47" s="53">
        <v>149781.79999999999</v>
      </c>
      <c r="I47" s="53">
        <v>0</v>
      </c>
      <c r="J47" s="53">
        <v>4718.1499999999996</v>
      </c>
      <c r="K47" s="53">
        <v>1.67</v>
      </c>
      <c r="L47" s="53">
        <f t="shared" si="18"/>
        <v>146190.98000000001</v>
      </c>
      <c r="M47" s="53">
        <v>6099.87</v>
      </c>
      <c r="N47" s="53">
        <f t="shared" si="15"/>
        <v>140091.11000000002</v>
      </c>
      <c r="O47" s="53">
        <v>1241.72</v>
      </c>
      <c r="P47" s="53">
        <v>0.42</v>
      </c>
      <c r="Q47" s="53">
        <f t="shared" si="19"/>
        <v>138848.97</v>
      </c>
      <c r="T47" s="267">
        <f t="shared" si="16"/>
        <v>5.3787539220080689E-3</v>
      </c>
      <c r="U47" s="153">
        <f t="shared" si="17"/>
        <v>43105.576890782606</v>
      </c>
      <c r="V47" s="153">
        <f t="shared" si="21"/>
        <v>181954.5468907826</v>
      </c>
    </row>
    <row r="48" spans="1:22" ht="12.75" customHeight="1">
      <c r="A48" s="103" t="s">
        <v>96</v>
      </c>
      <c r="B48" s="402">
        <v>1.77E-2</v>
      </c>
      <c r="C48" s="48">
        <v>0</v>
      </c>
      <c r="D48" s="382">
        <v>43442</v>
      </c>
      <c r="E48" s="173"/>
      <c r="F48" s="43">
        <v>2031053152</v>
      </c>
      <c r="G48" s="53">
        <v>2767.41</v>
      </c>
      <c r="H48" s="53">
        <v>368163.87</v>
      </c>
      <c r="I48" s="53">
        <v>0</v>
      </c>
      <c r="J48" s="53">
        <v>11598.87</v>
      </c>
      <c r="K48" s="53">
        <v>4.1100000000000003</v>
      </c>
      <c r="L48" s="53">
        <f t="shared" si="18"/>
        <v>359336.51999999996</v>
      </c>
      <c r="M48" s="53">
        <v>13781.75</v>
      </c>
      <c r="N48" s="53">
        <f t="shared" si="15"/>
        <v>345554.76999999996</v>
      </c>
      <c r="O48" s="53">
        <v>3059.71</v>
      </c>
      <c r="P48" s="53">
        <v>1.02</v>
      </c>
      <c r="Q48" s="53">
        <f t="shared" si="19"/>
        <v>342494.03999999992</v>
      </c>
      <c r="T48" s="267">
        <f t="shared" si="16"/>
        <v>1.3222770058269837E-2</v>
      </c>
      <c r="U48" s="153">
        <f t="shared" si="17"/>
        <v>105967.87652317392</v>
      </c>
      <c r="V48" s="153">
        <f t="shared" si="21"/>
        <v>448461.91652317386</v>
      </c>
    </row>
    <row r="49" spans="1:22" ht="12.75" customHeight="1">
      <c r="A49" s="103" t="s">
        <v>494</v>
      </c>
      <c r="B49" s="402">
        <v>4.4999999999999998E-2</v>
      </c>
      <c r="C49" s="48">
        <v>0</v>
      </c>
      <c r="D49" s="382">
        <v>43442</v>
      </c>
      <c r="E49" s="173"/>
      <c r="F49" s="43">
        <v>2031053152</v>
      </c>
      <c r="G49" s="53">
        <v>7036.02</v>
      </c>
      <c r="H49" s="53">
        <v>936049.58</v>
      </c>
      <c r="I49" s="53">
        <v>0</v>
      </c>
      <c r="J49" s="53">
        <v>29492.27</v>
      </c>
      <c r="K49" s="53">
        <v>10.43</v>
      </c>
      <c r="L49" s="53">
        <f t="shared" si="18"/>
        <v>913603.76</v>
      </c>
      <c r="M49" s="53">
        <v>36580.19</v>
      </c>
      <c r="N49" s="53">
        <f t="shared" si="15"/>
        <v>877023.57000000007</v>
      </c>
      <c r="O49" s="53">
        <v>7770.85</v>
      </c>
      <c r="P49" s="53">
        <v>2.6</v>
      </c>
      <c r="Q49" s="53">
        <f t="shared" si="19"/>
        <v>869250.12000000011</v>
      </c>
      <c r="T49" s="267">
        <f t="shared" si="16"/>
        <v>3.3617212012550426E-2</v>
      </c>
      <c r="U49" s="153">
        <f t="shared" si="17"/>
        <v>269409.85556739126</v>
      </c>
      <c r="V49" s="153">
        <f t="shared" si="21"/>
        <v>1138659.9755673914</v>
      </c>
    </row>
    <row r="50" spans="1:22" ht="12.75" customHeight="1">
      <c r="A50" s="103" t="s">
        <v>495</v>
      </c>
      <c r="B50" s="402">
        <v>0.05</v>
      </c>
      <c r="C50" s="48">
        <v>0</v>
      </c>
      <c r="D50" s="382">
        <v>43442</v>
      </c>
      <c r="E50" s="173"/>
      <c r="F50" s="43">
        <v>2031053152</v>
      </c>
      <c r="G50" s="53">
        <v>7817.66</v>
      </c>
      <c r="H50" s="53">
        <v>1040059.56</v>
      </c>
      <c r="I50" s="53">
        <v>0</v>
      </c>
      <c r="J50" s="53">
        <v>32768.6</v>
      </c>
      <c r="K50" s="53">
        <v>11.59</v>
      </c>
      <c r="L50" s="53">
        <f t="shared" si="18"/>
        <v>1015120.2100000001</v>
      </c>
      <c r="M50" s="53">
        <v>38933.18</v>
      </c>
      <c r="N50" s="53">
        <f t="shared" si="15"/>
        <v>976187.03</v>
      </c>
      <c r="O50" s="53">
        <v>8643.81</v>
      </c>
      <c r="P50" s="53">
        <v>2.89</v>
      </c>
      <c r="Q50" s="53">
        <f t="shared" si="19"/>
        <v>967540.33</v>
      </c>
      <c r="T50" s="267">
        <f t="shared" si="16"/>
        <v>3.73524577917227E-2</v>
      </c>
      <c r="U50" s="153">
        <f t="shared" si="17"/>
        <v>299344.2839637681</v>
      </c>
      <c r="V50" s="153">
        <f t="shared" si="21"/>
        <v>1266884.6139637681</v>
      </c>
    </row>
    <row r="51" spans="1:22" ht="12.75" customHeight="1">
      <c r="A51" s="103" t="s">
        <v>493</v>
      </c>
      <c r="B51" s="406">
        <v>0.24</v>
      </c>
      <c r="C51" s="48">
        <v>0</v>
      </c>
      <c r="D51" s="382">
        <v>43442</v>
      </c>
      <c r="E51" s="173"/>
      <c r="F51" s="43">
        <v>2031053152</v>
      </c>
      <c r="G51" s="53">
        <v>37524.75</v>
      </c>
      <c r="H51" s="53">
        <v>4992230.17</v>
      </c>
      <c r="I51" s="53">
        <v>0</v>
      </c>
      <c r="J51" s="53">
        <v>157290.21</v>
      </c>
      <c r="K51" s="53">
        <v>55.62</v>
      </c>
      <c r="L51" s="53">
        <f t="shared" si="18"/>
        <v>4872520.33</v>
      </c>
      <c r="M51" s="53">
        <v>186887.46</v>
      </c>
      <c r="N51" s="53">
        <f t="shared" si="15"/>
        <v>4685632.87</v>
      </c>
      <c r="O51" s="53">
        <v>41491.129999999997</v>
      </c>
      <c r="P51" s="53">
        <v>13.86</v>
      </c>
      <c r="Q51" s="53">
        <f t="shared" si="19"/>
        <v>4644127.88</v>
      </c>
      <c r="T51" s="267">
        <f t="shared" si="16"/>
        <v>0.17929179740026896</v>
      </c>
      <c r="U51" s="153">
        <f t="shared" si="17"/>
        <v>1436852.5630260869</v>
      </c>
      <c r="V51" s="153">
        <f t="shared" si="21"/>
        <v>6080980.4430260863</v>
      </c>
    </row>
    <row r="52" spans="1:22" s="50" customFormat="1" ht="12.75" customHeight="1">
      <c r="A52" s="103" t="s">
        <v>93</v>
      </c>
      <c r="B52" s="407">
        <v>1E-3</v>
      </c>
      <c r="C52" s="17">
        <v>0</v>
      </c>
      <c r="D52" s="382">
        <v>43442</v>
      </c>
      <c r="E52" s="173"/>
      <c r="F52" s="13">
        <v>2031053152</v>
      </c>
      <c r="G52" s="18">
        <v>156.38</v>
      </c>
      <c r="H52" s="18">
        <v>20817.36</v>
      </c>
      <c r="I52" s="18">
        <v>0</v>
      </c>
      <c r="J52" s="18">
        <v>656.05</v>
      </c>
      <c r="K52" s="18">
        <v>0.23</v>
      </c>
      <c r="L52" s="53">
        <f t="shared" si="18"/>
        <v>20317.920000000002</v>
      </c>
      <c r="M52" s="18">
        <v>776.3</v>
      </c>
      <c r="N52" s="53">
        <f t="shared" si="15"/>
        <v>19541.620000000003</v>
      </c>
      <c r="O52" s="18">
        <v>172.9</v>
      </c>
      <c r="P52" s="18">
        <v>0.06</v>
      </c>
      <c r="Q52" s="53">
        <f t="shared" si="19"/>
        <v>19368.66</v>
      </c>
      <c r="T52" s="267">
        <f t="shared" si="16"/>
        <v>7.4704915583445402E-4</v>
      </c>
      <c r="U52" s="153">
        <f t="shared" si="17"/>
        <v>5986.8856792753622</v>
      </c>
      <c r="V52" s="153">
        <f t="shared" si="21"/>
        <v>25355.545679275361</v>
      </c>
    </row>
    <row r="53" spans="1:22" s="50" customFormat="1" ht="12.75" customHeight="1">
      <c r="A53" s="321" t="s">
        <v>472</v>
      </c>
      <c r="B53" s="17">
        <v>2.5000000000000001E-3</v>
      </c>
      <c r="C53" s="17">
        <v>0</v>
      </c>
      <c r="D53" s="16">
        <v>43442</v>
      </c>
      <c r="E53" s="173"/>
      <c r="F53" s="13">
        <v>2031053152</v>
      </c>
      <c r="G53" s="18">
        <v>390.98</v>
      </c>
      <c r="H53" s="18">
        <v>51992.07</v>
      </c>
      <c r="I53" s="18">
        <v>0</v>
      </c>
      <c r="J53" s="18">
        <v>1638.6</v>
      </c>
      <c r="K53" s="18">
        <v>0.56999999999999995</v>
      </c>
      <c r="L53" s="18">
        <f t="shared" si="18"/>
        <v>50745.020000000004</v>
      </c>
      <c r="M53" s="18">
        <v>1946.9</v>
      </c>
      <c r="N53" s="18">
        <f t="shared" si="15"/>
        <v>48798.12</v>
      </c>
      <c r="O53" s="18">
        <v>432.05</v>
      </c>
      <c r="P53" s="18">
        <v>0.14000000000000001</v>
      </c>
      <c r="Q53" s="18">
        <f t="shared" si="19"/>
        <v>48365.93</v>
      </c>
      <c r="T53" s="267">
        <f t="shared" si="16"/>
        <v>1.867622889586135E-3</v>
      </c>
      <c r="U53" s="153">
        <f t="shared" si="17"/>
        <v>14967.214198188405</v>
      </c>
      <c r="V53" s="153">
        <f t="shared" si="21"/>
        <v>63333.144198188405</v>
      </c>
    </row>
    <row r="54" spans="1:22" s="50" customFormat="1" ht="12.75" customHeight="1">
      <c r="A54" s="321" t="s">
        <v>500</v>
      </c>
      <c r="B54" s="17">
        <v>0.2</v>
      </c>
      <c r="C54" s="17">
        <v>0</v>
      </c>
      <c r="D54" s="16">
        <v>43442</v>
      </c>
      <c r="E54" s="65">
        <v>149422796</v>
      </c>
      <c r="F54" s="13">
        <v>2031053152</v>
      </c>
      <c r="G54" s="18">
        <v>31270.9</v>
      </c>
      <c r="H54" s="18">
        <v>4162047.49</v>
      </c>
      <c r="I54" s="18"/>
      <c r="J54" s="18">
        <v>131208.76</v>
      </c>
      <c r="K54" s="18">
        <v>46.36</v>
      </c>
      <c r="L54" s="18">
        <f t="shared" si="18"/>
        <v>4062155.9899999998</v>
      </c>
      <c r="M54" s="18">
        <v>157578.23999999999</v>
      </c>
      <c r="N54" s="18">
        <f t="shared" si="15"/>
        <v>3904577.75</v>
      </c>
      <c r="O54" s="18">
        <v>0</v>
      </c>
      <c r="P54" s="18">
        <v>11.55</v>
      </c>
      <c r="Q54" s="18">
        <f t="shared" si="19"/>
        <v>3904566.2</v>
      </c>
      <c r="T54" s="267">
        <f t="shared" si="16"/>
        <v>0.1494098311668908</v>
      </c>
      <c r="U54" s="153">
        <f t="shared" si="17"/>
        <v>1197377.1358550724</v>
      </c>
      <c r="V54" s="153">
        <f t="shared" ref="V54" si="22">Q54+U54</f>
        <v>5101943.3358550724</v>
      </c>
    </row>
    <row r="55" spans="1:22" ht="12.75" customHeight="1">
      <c r="A55" s="71" t="s">
        <v>26</v>
      </c>
      <c r="B55" s="51">
        <f>SUM(B38:B54)</f>
        <v>1.3385999999999998</v>
      </c>
      <c r="C55" s="51">
        <f>-SUM(C38:C52)</f>
        <v>0</v>
      </c>
      <c r="D55" s="78">
        <f>+D38</f>
        <v>43442</v>
      </c>
      <c r="E55" s="173">
        <f>G55/B55*100</f>
        <v>15635381.742118636</v>
      </c>
      <c r="F55" s="78">
        <f>+F38</f>
        <v>2031053152</v>
      </c>
      <c r="G55" s="79">
        <f>SUM(G38:G54)</f>
        <v>209295.22000000003</v>
      </c>
      <c r="H55" s="79">
        <f>SUM(H38:H54)</f>
        <v>27845888.810000002</v>
      </c>
      <c r="I55" s="79">
        <f>SUM(I38:I52)</f>
        <v>0</v>
      </c>
      <c r="J55" s="79">
        <f t="shared" ref="J55:P55" si="23">SUM(J38:J54)</f>
        <v>877414.2300000001</v>
      </c>
      <c r="K55" s="79">
        <f t="shared" si="23"/>
        <v>310.27000000000004</v>
      </c>
      <c r="L55" s="79">
        <f t="shared" si="23"/>
        <v>27178080.07</v>
      </c>
      <c r="M55" s="79">
        <f t="shared" si="23"/>
        <v>1061903.3400000001</v>
      </c>
      <c r="N55" s="79">
        <f t="shared" si="23"/>
        <v>26116176.73</v>
      </c>
      <c r="O55" s="79">
        <f t="shared" si="23"/>
        <v>196736.02</v>
      </c>
      <c r="P55" s="79">
        <f t="shared" si="23"/>
        <v>77.31</v>
      </c>
      <c r="Q55" s="79">
        <f>N55-O55-P55</f>
        <v>25919363.400000002</v>
      </c>
      <c r="T55" s="267">
        <f>SUM(T37:T54)</f>
        <v>1.0000000000000002</v>
      </c>
      <c r="U55" s="267">
        <f>SUM(U38:U52)</f>
        <v>6801700.8202247387</v>
      </c>
      <c r="V55" s="267">
        <f>SUM(V38:V54)</f>
        <v>33933408.570277996</v>
      </c>
    </row>
    <row r="56" spans="1:22" ht="12.75" customHeight="1">
      <c r="A56" s="71"/>
      <c r="B56" s="51"/>
      <c r="C56" s="51"/>
      <c r="D56" s="556"/>
      <c r="E56" s="173"/>
      <c r="F56" s="556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T56" s="267"/>
      <c r="U56" s="267"/>
      <c r="V56" s="267"/>
    </row>
    <row r="57" spans="1:22" ht="12.75" customHeight="1">
      <c r="A57" s="47" t="s">
        <v>16</v>
      </c>
      <c r="B57" s="48">
        <f>B55</f>
        <v>1.3385999999999998</v>
      </c>
      <c r="C57" s="48">
        <f>C55</f>
        <v>0</v>
      </c>
      <c r="D57" s="43"/>
      <c r="E57" s="173"/>
      <c r="F57" s="65">
        <f>IF(E54&gt;E55,E54-E55,0)</f>
        <v>133787414.25788136</v>
      </c>
      <c r="G57" s="53">
        <f>F57*(B57-C57)/100</f>
        <v>1790878.3272559994</v>
      </c>
      <c r="H57" s="53"/>
      <c r="I57" s="53">
        <f>F57*C57/100</f>
        <v>0</v>
      </c>
      <c r="J57" s="53"/>
      <c r="K57" s="53"/>
      <c r="L57" s="53">
        <f>G57+H57+I57-J57+K57</f>
        <v>1790878.3272559994</v>
      </c>
      <c r="M57" s="53"/>
      <c r="N57" s="53">
        <f>L57-M57</f>
        <v>1790878.3272559994</v>
      </c>
      <c r="O57" s="53"/>
      <c r="P57" s="53"/>
      <c r="Q57" s="53">
        <f>N57-O57-P57</f>
        <v>1790878.3272559994</v>
      </c>
      <c r="T57" s="266"/>
      <c r="U57" s="266"/>
      <c r="V57" s="266"/>
    </row>
    <row r="58" spans="1:22" ht="12.75" customHeight="1">
      <c r="A58" s="47" t="s">
        <v>17</v>
      </c>
      <c r="B58" s="48">
        <f>B55</f>
        <v>1.3385999999999998</v>
      </c>
      <c r="C58" s="48">
        <f>C55</f>
        <v>0</v>
      </c>
      <c r="D58" s="43"/>
      <c r="E58" s="173"/>
      <c r="F58" s="66">
        <v>215880627</v>
      </c>
      <c r="G58" s="53"/>
      <c r="H58" s="53">
        <f>F58*(B58-C58)/100</f>
        <v>2889778.0730219996</v>
      </c>
      <c r="I58" s="53">
        <f>F58*C58/100</f>
        <v>0</v>
      </c>
      <c r="J58" s="53">
        <v>0</v>
      </c>
      <c r="K58" s="53">
        <v>0</v>
      </c>
      <c r="L58" s="53">
        <f>G58+H58+I58-J58+K58</f>
        <v>2889778.0730219996</v>
      </c>
      <c r="M58" s="53">
        <v>0</v>
      </c>
      <c r="N58" s="53">
        <f>L58-M58</f>
        <v>2889778.0730219996</v>
      </c>
      <c r="O58" s="53">
        <v>0</v>
      </c>
      <c r="P58" s="53">
        <v>0</v>
      </c>
      <c r="Q58" s="53">
        <f>N58-O58-P58</f>
        <v>2889778.0730219996</v>
      </c>
      <c r="T58" s="266" t="s">
        <v>380</v>
      </c>
      <c r="U58" s="266"/>
      <c r="V58" s="266"/>
    </row>
    <row r="59" spans="1:22" ht="12.75" customHeight="1">
      <c r="A59" s="47" t="s">
        <v>18</v>
      </c>
      <c r="B59" s="48"/>
      <c r="C59" s="48"/>
      <c r="D59" s="43"/>
      <c r="E59" s="173"/>
      <c r="F59" s="4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T59" s="266" t="s">
        <v>381</v>
      </c>
      <c r="U59" s="266"/>
      <c r="V59" s="266"/>
    </row>
    <row r="60" spans="1:22" ht="12.75" customHeight="1">
      <c r="A60" s="67" t="s">
        <v>19</v>
      </c>
      <c r="B60" s="48">
        <f>B55</f>
        <v>1.3385999999999998</v>
      </c>
      <c r="C60" s="48">
        <f>C55</f>
        <v>0</v>
      </c>
      <c r="D60" s="43"/>
      <c r="E60" s="173"/>
      <c r="F60" s="43">
        <v>260003168.59999999</v>
      </c>
      <c r="G60" s="53">
        <v>110486.71</v>
      </c>
      <c r="H60" s="53">
        <v>3435646.44</v>
      </c>
      <c r="I60" s="53">
        <v>0</v>
      </c>
      <c r="J60" s="53">
        <v>65730.740000000005</v>
      </c>
      <c r="K60" s="53">
        <v>0</v>
      </c>
      <c r="L60" s="53">
        <f>G60+H60+I60-J60+K60</f>
        <v>3480402.4099999997</v>
      </c>
      <c r="M60" s="53">
        <v>380602.09</v>
      </c>
      <c r="N60" s="53">
        <f>L60-M60</f>
        <v>3099800.32</v>
      </c>
      <c r="O60" s="53">
        <v>368.07</v>
      </c>
      <c r="P60" s="53">
        <v>0</v>
      </c>
      <c r="Q60" s="53">
        <f>N60-O60-P60</f>
        <v>3099432.25</v>
      </c>
      <c r="S60" s="53"/>
      <c r="T60" s="266"/>
      <c r="U60" s="266"/>
      <c r="V60" s="266"/>
    </row>
    <row r="61" spans="1:22" ht="12.75" customHeight="1">
      <c r="A61" s="67" t="s">
        <v>20</v>
      </c>
      <c r="B61" s="48">
        <f>B55</f>
        <v>1.3385999999999998</v>
      </c>
      <c r="C61" s="48">
        <f>C55</f>
        <v>0</v>
      </c>
      <c r="D61" s="43"/>
      <c r="E61" s="173"/>
      <c r="F61" s="43">
        <v>17480631.989999998</v>
      </c>
      <c r="G61" s="53">
        <v>214231.85</v>
      </c>
      <c r="H61" s="53">
        <v>19763.71</v>
      </c>
      <c r="I61" s="53">
        <v>0</v>
      </c>
      <c r="J61" s="53">
        <v>0</v>
      </c>
      <c r="K61" s="53">
        <v>0</v>
      </c>
      <c r="L61" s="53">
        <f>G61+H61+I61-J61+K61</f>
        <v>233995.56</v>
      </c>
      <c r="M61" s="53">
        <v>29.12</v>
      </c>
      <c r="N61" s="53">
        <f>L61-M61</f>
        <v>233966.44</v>
      </c>
      <c r="O61" s="53">
        <v>9.92</v>
      </c>
      <c r="P61" s="53"/>
      <c r="Q61" s="53">
        <f>N61-O61-P61</f>
        <v>233956.52</v>
      </c>
      <c r="S61" s="53"/>
      <c r="T61" s="153">
        <f>SUM(Q57:Q58,Q60:Q61)</f>
        <v>8014045.1702779988</v>
      </c>
      <c r="U61" s="266"/>
      <c r="V61" s="266"/>
    </row>
    <row r="62" spans="1:22" ht="12.75" customHeight="1">
      <c r="A62" s="47"/>
      <c r="B62" s="48"/>
      <c r="C62" s="48"/>
      <c r="D62" s="43"/>
      <c r="E62" s="173"/>
      <c r="F62" s="4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T62" s="266"/>
      <c r="U62" s="266"/>
      <c r="V62" s="266"/>
    </row>
    <row r="63" spans="1:22" s="50" customFormat="1" ht="12.75" customHeight="1" thickBot="1">
      <c r="A63" s="60" t="str">
        <f>"TOTAL "&amp;A35</f>
        <v>TOTAL GENERAL COUNTY</v>
      </c>
      <c r="B63" s="68">
        <f>B55</f>
        <v>1.3385999999999998</v>
      </c>
      <c r="C63" s="68">
        <f>C55</f>
        <v>0</v>
      </c>
      <c r="D63" s="69">
        <f t="shared" ref="D63:Q63" si="24">SUM(D55:D58,D60:D61)</f>
        <v>43442</v>
      </c>
      <c r="E63" s="204"/>
      <c r="F63" s="69">
        <f t="shared" si="24"/>
        <v>2658204993.8478808</v>
      </c>
      <c r="G63" s="70">
        <f t="shared" si="24"/>
        <v>2324892.1072559995</v>
      </c>
      <c r="H63" s="70">
        <f t="shared" si="24"/>
        <v>34191077.033022001</v>
      </c>
      <c r="I63" s="70">
        <f t="shared" si="24"/>
        <v>0</v>
      </c>
      <c r="J63" s="70">
        <f t="shared" si="24"/>
        <v>943144.97000000009</v>
      </c>
      <c r="K63" s="70">
        <f t="shared" si="24"/>
        <v>310.27000000000004</v>
      </c>
      <c r="L63" s="70">
        <f t="shared" si="24"/>
        <v>35573134.440278001</v>
      </c>
      <c r="M63" s="70">
        <f t="shared" si="24"/>
        <v>1442534.5500000003</v>
      </c>
      <c r="N63" s="70">
        <f t="shared" si="24"/>
        <v>34130599.890277997</v>
      </c>
      <c r="O63" s="70">
        <f t="shared" si="24"/>
        <v>197114.01</v>
      </c>
      <c r="P63" s="70">
        <f t="shared" si="24"/>
        <v>77.31</v>
      </c>
      <c r="Q63" s="70">
        <f t="shared" si="24"/>
        <v>33933408.570278004</v>
      </c>
    </row>
    <row r="64" spans="1:22" s="168" customFormat="1" ht="12.75" customHeight="1">
      <c r="A64" s="165" t="s">
        <v>28</v>
      </c>
      <c r="B64" s="166"/>
      <c r="C64" s="166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</row>
    <row r="65" spans="1:20" s="168" customFormat="1" ht="12.75" customHeight="1">
      <c r="A65" s="200" t="s">
        <v>29</v>
      </c>
      <c r="B65" s="166"/>
      <c r="C65" s="166"/>
      <c r="D65" s="167"/>
      <c r="E65" s="260" t="s">
        <v>372</v>
      </c>
      <c r="F65" s="167">
        <v>15635407</v>
      </c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</row>
    <row r="66" spans="1:20" s="168" customFormat="1" ht="12.75" customHeight="1">
      <c r="A66" s="200" t="s">
        <v>15</v>
      </c>
      <c r="B66" s="166"/>
      <c r="C66" s="166"/>
      <c r="D66" s="167"/>
      <c r="E66" s="167">
        <v>63693385</v>
      </c>
      <c r="F66" s="169">
        <v>2015417745</v>
      </c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</row>
    <row r="67" spans="1:20" s="168" customFormat="1" ht="12.75" customHeight="1">
      <c r="A67" s="200"/>
      <c r="B67" s="166"/>
      <c r="C67" s="166"/>
      <c r="D67" s="167"/>
      <c r="E67" s="167">
        <f>F68-E66</f>
        <v>-63693385</v>
      </c>
      <c r="F67" s="167">
        <f>F65+F66</f>
        <v>2031053152</v>
      </c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</row>
    <row r="68" spans="1:20" s="168" customFormat="1" ht="12.75" customHeight="1">
      <c r="A68" s="200" t="s">
        <v>30</v>
      </c>
      <c r="B68" s="166"/>
      <c r="C68" s="166"/>
      <c r="D68" s="167"/>
      <c r="E68" s="167"/>
      <c r="F68" s="74">
        <f>F55-F67</f>
        <v>0</v>
      </c>
      <c r="G68" s="170">
        <f>F68/F67</f>
        <v>0</v>
      </c>
      <c r="H68" s="167"/>
      <c r="I68" s="167"/>
      <c r="J68" s="167"/>
      <c r="K68" s="167"/>
      <c r="L68" s="167"/>
      <c r="M68" s="167"/>
      <c r="N68" s="167"/>
      <c r="O68" s="167"/>
      <c r="P68" s="167"/>
      <c r="Q68" s="167"/>
    </row>
    <row r="69" spans="1:20" s="174" customFormat="1" ht="12.75" customHeight="1">
      <c r="A69" s="171"/>
      <c r="B69" s="172"/>
      <c r="C69" s="172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1:20" s="174" customFormat="1" ht="12.75" customHeight="1">
      <c r="A70" s="75" t="s">
        <v>355</v>
      </c>
      <c r="B70" s="172"/>
      <c r="C70" s="172"/>
      <c r="D70" s="175"/>
      <c r="E70" s="175"/>
      <c r="F70" s="175">
        <v>2658204969</v>
      </c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1:20" s="174" customFormat="1" ht="12.75" customHeight="1">
      <c r="A71" s="76" t="s">
        <v>30</v>
      </c>
      <c r="B71" s="172"/>
      <c r="C71" s="172"/>
      <c r="D71" s="77"/>
      <c r="E71" s="77"/>
      <c r="F71" s="77">
        <f>F63-F70</f>
        <v>24.847880840301514</v>
      </c>
      <c r="G71" s="170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1:20" ht="12.75" customHeight="1">
      <c r="A72" s="47"/>
      <c r="B72" s="48"/>
      <c r="C72" s="48"/>
      <c r="D72" s="43"/>
      <c r="E72" s="173"/>
      <c r="F72" s="4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spans="1:20" ht="12.75" customHeight="1">
      <c r="A73" s="54" t="s">
        <v>13</v>
      </c>
      <c r="B73" s="51"/>
      <c r="C73" s="51"/>
      <c r="D73" s="52"/>
      <c r="E73" s="203"/>
      <c r="F73" s="92"/>
      <c r="G73" s="64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20" ht="12.75" customHeight="1">
      <c r="A74" s="47"/>
      <c r="B74" s="48"/>
      <c r="C74" s="48"/>
      <c r="D74" s="43"/>
      <c r="E74" s="65">
        <v>149422796</v>
      </c>
      <c r="F74" s="4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20" ht="12.75" customHeight="1">
      <c r="A75" s="49" t="s">
        <v>15</v>
      </c>
      <c r="B75" s="48">
        <v>0.75</v>
      </c>
      <c r="C75" s="48">
        <v>0</v>
      </c>
      <c r="D75" s="43">
        <v>43442</v>
      </c>
      <c r="E75" s="173">
        <f>G75/B75*100</f>
        <v>15635432</v>
      </c>
      <c r="F75" s="43">
        <v>2031053152</v>
      </c>
      <c r="G75" s="53">
        <v>117265.74</v>
      </c>
      <c r="H75" s="53">
        <v>15600715.92</v>
      </c>
      <c r="I75" s="53">
        <v>0</v>
      </c>
      <c r="J75" s="53">
        <v>491528.68</v>
      </c>
      <c r="K75" s="53">
        <v>173.83</v>
      </c>
      <c r="L75" s="53">
        <f>G75+H75+I75-J75+K75</f>
        <v>15226626.810000001</v>
      </c>
      <c r="M75" s="53">
        <v>584019.09</v>
      </c>
      <c r="N75" s="53">
        <f>L75-M75</f>
        <v>14642607.720000001</v>
      </c>
      <c r="O75" s="53">
        <v>129659.65</v>
      </c>
      <c r="P75" s="53">
        <v>43.31</v>
      </c>
      <c r="Q75" s="53">
        <f>N75-O75-P75</f>
        <v>14512904.76</v>
      </c>
    </row>
    <row r="76" spans="1:20" ht="12.75" customHeight="1">
      <c r="A76" s="47" t="s">
        <v>16</v>
      </c>
      <c r="B76" s="48">
        <f>B$75</f>
        <v>0.75</v>
      </c>
      <c r="C76" s="48">
        <f>C$75</f>
        <v>0</v>
      </c>
      <c r="D76" s="43"/>
      <c r="E76" s="173"/>
      <c r="F76" s="65">
        <f>IF(E74&gt;E75,E74-E75,0)</f>
        <v>133787364</v>
      </c>
      <c r="G76" s="53">
        <f>F76*(B76-C76)/100</f>
        <v>1003405.23</v>
      </c>
      <c r="H76" s="53"/>
      <c r="I76" s="53">
        <f>F76*C76/100</f>
        <v>0</v>
      </c>
      <c r="J76" s="53"/>
      <c r="K76" s="53"/>
      <c r="L76" s="53">
        <f>G76+H76+I76-J76+K76</f>
        <v>1003405.23</v>
      </c>
      <c r="M76" s="53"/>
      <c r="N76" s="53">
        <f>L76-M76</f>
        <v>1003405.23</v>
      </c>
      <c r="O76" s="53"/>
      <c r="P76" s="53"/>
      <c r="Q76" s="53">
        <f>N76-O76-P76</f>
        <v>1003405.23</v>
      </c>
    </row>
    <row r="77" spans="1:20" ht="12.75" customHeight="1">
      <c r="A77" s="47" t="s">
        <v>17</v>
      </c>
      <c r="B77" s="48">
        <f t="shared" ref="B77:C80" si="25">B$75</f>
        <v>0.75</v>
      </c>
      <c r="C77" s="48">
        <f t="shared" si="25"/>
        <v>0</v>
      </c>
      <c r="D77" s="43"/>
      <c r="E77" s="173"/>
      <c r="F77" s="66">
        <v>215880627</v>
      </c>
      <c r="G77" s="53"/>
      <c r="H77" s="53">
        <f>F77*(B77-C77)/100</f>
        <v>1619104.7024999999</v>
      </c>
      <c r="I77" s="53">
        <f>F77*C77/100</f>
        <v>0</v>
      </c>
      <c r="J77" s="53">
        <v>0</v>
      </c>
      <c r="K77" s="53">
        <v>0</v>
      </c>
      <c r="L77" s="53">
        <f>G77+H77+I77-J77+K77</f>
        <v>1619104.7024999999</v>
      </c>
      <c r="M77" s="53">
        <v>0</v>
      </c>
      <c r="N77" s="53">
        <f>L77-M77</f>
        <v>1619104.7024999999</v>
      </c>
      <c r="O77" s="53">
        <v>0</v>
      </c>
      <c r="P77" s="53">
        <v>0</v>
      </c>
      <c r="Q77" s="53">
        <f>N77-O77-P77</f>
        <v>1619104.7024999999</v>
      </c>
    </row>
    <row r="78" spans="1:20" ht="12.75" customHeight="1">
      <c r="A78" s="47" t="s">
        <v>18</v>
      </c>
      <c r="B78" s="48"/>
      <c r="C78" s="48"/>
      <c r="D78" s="43"/>
      <c r="E78" s="173"/>
      <c r="F78" s="4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20" ht="12.75" customHeight="1">
      <c r="A79" s="67" t="s">
        <v>19</v>
      </c>
      <c r="B79" s="48">
        <f t="shared" si="25"/>
        <v>0.75</v>
      </c>
      <c r="C79" s="48">
        <f t="shared" si="25"/>
        <v>0</v>
      </c>
      <c r="D79" s="43"/>
      <c r="E79" s="173"/>
      <c r="F79" s="486">
        <v>260003168.59999999</v>
      </c>
      <c r="G79" s="487">
        <v>61904.23</v>
      </c>
      <c r="H79" s="487">
        <v>1924947.55</v>
      </c>
      <c r="I79" s="53">
        <v>0</v>
      </c>
      <c r="J79" s="53">
        <v>36828.080000000002</v>
      </c>
      <c r="K79" s="53">
        <v>0</v>
      </c>
      <c r="L79" s="53">
        <f>G79+H79+I79-J79+K79</f>
        <v>1950023.7</v>
      </c>
      <c r="M79" s="53">
        <v>36658.879999999997</v>
      </c>
      <c r="N79" s="53">
        <f>L79-M79</f>
        <v>1913364.82</v>
      </c>
      <c r="O79" s="53">
        <v>206.22</v>
      </c>
      <c r="P79" s="53">
        <v>0</v>
      </c>
      <c r="Q79" s="53">
        <f>N79-O79-P79</f>
        <v>1913158.6</v>
      </c>
      <c r="S79" s="381">
        <f>Q80-G80</f>
        <v>11051.389999999985</v>
      </c>
    </row>
    <row r="80" spans="1:20" ht="12.75" customHeight="1">
      <c r="A80" s="67" t="s">
        <v>20</v>
      </c>
      <c r="B80" s="48">
        <f t="shared" si="25"/>
        <v>0.75</v>
      </c>
      <c r="C80" s="48">
        <f t="shared" si="25"/>
        <v>0</v>
      </c>
      <c r="D80" s="43"/>
      <c r="E80" s="173"/>
      <c r="F80" s="43">
        <v>17480631.989999998</v>
      </c>
      <c r="G80" s="53">
        <v>120031.22</v>
      </c>
      <c r="H80" s="53">
        <v>11073.34</v>
      </c>
      <c r="I80" s="53">
        <v>0</v>
      </c>
      <c r="J80" s="53">
        <v>0</v>
      </c>
      <c r="K80" s="53">
        <v>0</v>
      </c>
      <c r="L80" s="53">
        <f>G80+H80+I80-J80+K80</f>
        <v>131104.56</v>
      </c>
      <c r="M80" s="53">
        <v>16.39</v>
      </c>
      <c r="N80" s="53">
        <f>L80-M80</f>
        <v>131088.16999999998</v>
      </c>
      <c r="O80" s="53">
        <v>5.56</v>
      </c>
      <c r="P80" s="53"/>
      <c r="Q80" s="53">
        <f>N80-O80-P80</f>
        <v>131082.60999999999</v>
      </c>
      <c r="S80" s="381">
        <f>G80</f>
        <v>120031.22</v>
      </c>
      <c r="T80" s="53"/>
    </row>
    <row r="81" spans="1:20" ht="12.75" customHeight="1">
      <c r="A81" s="47"/>
      <c r="B81" s="48"/>
      <c r="C81" s="48"/>
      <c r="D81" s="43"/>
      <c r="E81" s="173"/>
      <c r="F81" s="4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1:20" s="50" customFormat="1" ht="12.75" customHeight="1">
      <c r="A82" s="57" t="s">
        <v>31</v>
      </c>
      <c r="B82" s="51">
        <f>B75</f>
        <v>0.75</v>
      </c>
      <c r="C82" s="51">
        <f>C75</f>
        <v>0</v>
      </c>
      <c r="D82" s="78">
        <f t="shared" ref="D82:Q82" si="26">SUM(D75:D77,D79:D80)</f>
        <v>43442</v>
      </c>
      <c r="E82" s="206"/>
      <c r="F82" s="78">
        <f>SUM(F75:F77,F79:F80)</f>
        <v>2658204943.5899997</v>
      </c>
      <c r="G82" s="79">
        <f t="shared" si="26"/>
        <v>1302606.42</v>
      </c>
      <c r="H82" s="79">
        <f t="shared" si="26"/>
        <v>19155841.512499999</v>
      </c>
      <c r="I82" s="79">
        <f t="shared" si="26"/>
        <v>0</v>
      </c>
      <c r="J82" s="79">
        <f t="shared" si="26"/>
        <v>528356.76</v>
      </c>
      <c r="K82" s="79">
        <f t="shared" si="26"/>
        <v>173.83</v>
      </c>
      <c r="L82" s="79">
        <f t="shared" si="26"/>
        <v>19930265.002499998</v>
      </c>
      <c r="M82" s="79">
        <f t="shared" si="26"/>
        <v>620694.36</v>
      </c>
      <c r="N82" s="79">
        <f t="shared" si="26"/>
        <v>19309570.642500002</v>
      </c>
      <c r="O82" s="79">
        <f t="shared" si="26"/>
        <v>129871.43</v>
      </c>
      <c r="P82" s="79">
        <f t="shared" si="26"/>
        <v>43.31</v>
      </c>
      <c r="Q82" s="79">
        <f t="shared" si="26"/>
        <v>19179655.9025</v>
      </c>
      <c r="S82" s="400">
        <v>100</v>
      </c>
    </row>
    <row r="83" spans="1:20" ht="12.75" customHeight="1">
      <c r="A83" s="150"/>
      <c r="B83" s="48"/>
      <c r="C83" s="48"/>
      <c r="D83" s="43"/>
      <c r="E83" s="173"/>
      <c r="F83" s="64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20" ht="12.75" customHeight="1">
      <c r="A84" s="151"/>
      <c r="B84" s="51"/>
      <c r="C84" s="51"/>
      <c r="D84" s="52"/>
      <c r="E84" s="173"/>
      <c r="F84" s="152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20" ht="12.75" customHeight="1">
      <c r="A85" s="15" t="s">
        <v>32</v>
      </c>
      <c r="B85" s="48"/>
      <c r="C85" s="48"/>
      <c r="D85" s="43"/>
      <c r="E85" s="173"/>
      <c r="F85" s="64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20" ht="12.75" customHeight="1">
      <c r="A86" s="47"/>
      <c r="B86" s="48"/>
      <c r="C86" s="48"/>
      <c r="D86" s="43"/>
      <c r="E86" s="65">
        <v>149422796</v>
      </c>
      <c r="F86" s="43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20" ht="12.75" customHeight="1">
      <c r="A87" s="49" t="s">
        <v>15</v>
      </c>
      <c r="B87" s="48">
        <v>0</v>
      </c>
      <c r="C87" s="48"/>
      <c r="D87" s="43"/>
      <c r="E87" s="173"/>
      <c r="F87" s="43"/>
      <c r="G87" s="53"/>
      <c r="H87" s="53"/>
      <c r="I87" s="53"/>
      <c r="J87" s="53"/>
      <c r="K87" s="53"/>
      <c r="L87" s="53">
        <f>G87+H87+I87-J87+K87</f>
        <v>0</v>
      </c>
      <c r="M87" s="53"/>
      <c r="N87" s="53">
        <f>L87-M87</f>
        <v>0</v>
      </c>
      <c r="O87" s="53">
        <v>0</v>
      </c>
      <c r="P87" s="53">
        <v>0</v>
      </c>
      <c r="Q87" s="53">
        <f>N87-O87-P87</f>
        <v>0</v>
      </c>
    </row>
    <row r="88" spans="1:20" ht="12.75" customHeight="1">
      <c r="A88" s="47" t="s">
        <v>16</v>
      </c>
      <c r="B88" s="48">
        <v>0</v>
      </c>
      <c r="C88" s="48">
        <v>0</v>
      </c>
      <c r="D88" s="43"/>
      <c r="E88" s="173"/>
      <c r="F88" s="65">
        <f>IF(E86&gt;E87,E86-E87,0)</f>
        <v>149422796</v>
      </c>
      <c r="G88" s="53">
        <f>F88*(B88-C88)/100</f>
        <v>0</v>
      </c>
      <c r="H88" s="53"/>
      <c r="I88" s="53">
        <f>F88*C88/100</f>
        <v>0</v>
      </c>
      <c r="J88" s="53"/>
      <c r="K88" s="53"/>
      <c r="L88" s="53">
        <f>G88+H88+I88-J88+K88</f>
        <v>0</v>
      </c>
      <c r="M88" s="53"/>
      <c r="N88" s="53">
        <f>L88-M88</f>
        <v>0</v>
      </c>
      <c r="O88" s="53"/>
      <c r="P88" s="53"/>
      <c r="Q88" s="53">
        <f>N88-O88-P88</f>
        <v>0</v>
      </c>
    </row>
    <row r="89" spans="1:20" ht="12.75" customHeight="1">
      <c r="A89" s="47" t="s">
        <v>17</v>
      </c>
      <c r="B89" s="48">
        <f>B87</f>
        <v>0</v>
      </c>
      <c r="C89" s="48">
        <f>C87</f>
        <v>0</v>
      </c>
      <c r="D89" s="43"/>
      <c r="E89" s="173"/>
      <c r="F89" s="66">
        <v>215880627</v>
      </c>
      <c r="G89" s="53"/>
      <c r="H89" s="53">
        <f>F89*(B89-C89)/100</f>
        <v>0</v>
      </c>
      <c r="I89" s="53">
        <f>F89*C89/100</f>
        <v>0</v>
      </c>
      <c r="J89" s="53"/>
      <c r="K89" s="53"/>
      <c r="L89" s="53">
        <f>G89+H89+I89-J89+K89</f>
        <v>0</v>
      </c>
      <c r="M89" s="53"/>
      <c r="N89" s="53">
        <f>L89-M89</f>
        <v>0</v>
      </c>
      <c r="O89" s="53"/>
      <c r="P89" s="53"/>
      <c r="Q89" s="53">
        <f>N89-O89-P89</f>
        <v>0</v>
      </c>
    </row>
    <row r="90" spans="1:20" ht="12.75" customHeight="1">
      <c r="A90" s="47" t="s">
        <v>18</v>
      </c>
      <c r="B90" s="48"/>
      <c r="C90" s="48"/>
      <c r="D90" s="43"/>
      <c r="E90" s="173"/>
      <c r="F90" s="4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1:20" ht="12.75" customHeight="1">
      <c r="A91" s="67" t="s">
        <v>19</v>
      </c>
      <c r="B91" s="48">
        <f>B87</f>
        <v>0</v>
      </c>
      <c r="C91" s="48">
        <f>C87</f>
        <v>0</v>
      </c>
      <c r="D91" s="43"/>
      <c r="E91" s="173"/>
      <c r="F91" s="43"/>
      <c r="G91" s="53"/>
      <c r="H91" s="53"/>
      <c r="I91" s="53"/>
      <c r="J91" s="53"/>
      <c r="K91" s="53"/>
      <c r="L91" s="53"/>
      <c r="M91" s="53"/>
      <c r="N91" s="53">
        <f>L91-M91</f>
        <v>0</v>
      </c>
      <c r="O91" s="53"/>
      <c r="P91" s="53"/>
      <c r="Q91" s="53">
        <f>N91-O91-P91</f>
        <v>0</v>
      </c>
    </row>
    <row r="92" spans="1:20" ht="12.75" customHeight="1">
      <c r="A92" s="67" t="s">
        <v>20</v>
      </c>
      <c r="B92" s="48">
        <f>B87</f>
        <v>0</v>
      </c>
      <c r="C92" s="48">
        <f>C87</f>
        <v>0</v>
      </c>
      <c r="D92" s="43"/>
      <c r="E92" s="173"/>
      <c r="F92" s="43"/>
      <c r="G92" s="53"/>
      <c r="H92" s="53"/>
      <c r="I92" s="53">
        <v>0</v>
      </c>
      <c r="J92" s="53"/>
      <c r="K92" s="53"/>
      <c r="L92" s="53">
        <f>G92+H92+I92-J92+K92</f>
        <v>0</v>
      </c>
      <c r="M92" s="53"/>
      <c r="N92" s="53">
        <f>L92-M92</f>
        <v>0</v>
      </c>
      <c r="O92" s="53"/>
      <c r="P92" s="53"/>
      <c r="Q92" s="53">
        <f>N92-O92-P92</f>
        <v>0</v>
      </c>
      <c r="T92" s="53">
        <f>+Q80+Q92</f>
        <v>131082.60999999999</v>
      </c>
    </row>
    <row r="93" spans="1:20" ht="12.75" customHeight="1">
      <c r="A93" s="47"/>
      <c r="B93" s="48"/>
      <c r="C93" s="48"/>
      <c r="D93" s="43"/>
      <c r="E93" s="173"/>
      <c r="F93" s="4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1:20" s="50" customFormat="1" ht="12.75" customHeight="1">
      <c r="A94" s="57" t="s">
        <v>33</v>
      </c>
      <c r="B94" s="51">
        <f>B87</f>
        <v>0</v>
      </c>
      <c r="C94" s="51">
        <f>C87</f>
        <v>0</v>
      </c>
      <c r="D94" s="78">
        <f t="shared" ref="D94:Q94" si="27">SUM(D87:D89,D91:D92)</f>
        <v>0</v>
      </c>
      <c r="E94" s="206"/>
      <c r="F94" s="78">
        <f t="shared" si="27"/>
        <v>365303423</v>
      </c>
      <c r="G94" s="79">
        <f t="shared" si="27"/>
        <v>0</v>
      </c>
      <c r="H94" s="79">
        <f t="shared" si="27"/>
        <v>0</v>
      </c>
      <c r="I94" s="79">
        <f t="shared" si="27"/>
        <v>0</v>
      </c>
      <c r="J94" s="79">
        <f t="shared" si="27"/>
        <v>0</v>
      </c>
      <c r="K94" s="79">
        <f t="shared" si="27"/>
        <v>0</v>
      </c>
      <c r="L94" s="79">
        <f t="shared" si="27"/>
        <v>0</v>
      </c>
      <c r="M94" s="79">
        <f t="shared" si="27"/>
        <v>0</v>
      </c>
      <c r="N94" s="79">
        <f t="shared" si="27"/>
        <v>0</v>
      </c>
      <c r="O94" s="79">
        <f t="shared" si="27"/>
        <v>0</v>
      </c>
      <c r="P94" s="79">
        <f t="shared" si="27"/>
        <v>0</v>
      </c>
      <c r="Q94" s="79">
        <f t="shared" si="27"/>
        <v>0</v>
      </c>
      <c r="S94" s="184">
        <v>0</v>
      </c>
    </row>
    <row r="95" spans="1:20" ht="12.75" customHeight="1">
      <c r="A95" s="47"/>
      <c r="B95" s="48"/>
      <c r="C95" s="48"/>
      <c r="D95" s="43"/>
      <c r="E95" s="173"/>
      <c r="F95" s="4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1:20" s="50" customFormat="1" ht="12.75" customHeight="1" thickBot="1">
      <c r="A96" s="60" t="s">
        <v>34</v>
      </c>
      <c r="B96" s="68">
        <f>B82+B94</f>
        <v>0.75</v>
      </c>
      <c r="C96" s="68">
        <f>C82+C94</f>
        <v>0</v>
      </c>
      <c r="D96" s="69">
        <f>D82</f>
        <v>43442</v>
      </c>
      <c r="E96" s="204"/>
      <c r="F96" s="69">
        <f>F82</f>
        <v>2658204943.5899997</v>
      </c>
      <c r="G96" s="70">
        <f t="shared" ref="G96:Q96" si="28">G82+G94</f>
        <v>1302606.42</v>
      </c>
      <c r="H96" s="70">
        <f t="shared" si="28"/>
        <v>19155841.512499999</v>
      </c>
      <c r="I96" s="70">
        <f t="shared" si="28"/>
        <v>0</v>
      </c>
      <c r="J96" s="70">
        <f t="shared" si="28"/>
        <v>528356.76</v>
      </c>
      <c r="K96" s="70">
        <f t="shared" si="28"/>
        <v>173.83</v>
      </c>
      <c r="L96" s="70">
        <f t="shared" si="28"/>
        <v>19930265.002499998</v>
      </c>
      <c r="M96" s="70">
        <f t="shared" si="28"/>
        <v>620694.36</v>
      </c>
      <c r="N96" s="70">
        <f t="shared" si="28"/>
        <v>19309570.642500002</v>
      </c>
      <c r="O96" s="70">
        <f t="shared" si="28"/>
        <v>129871.43</v>
      </c>
      <c r="P96" s="70">
        <f t="shared" si="28"/>
        <v>43.31</v>
      </c>
      <c r="Q96" s="70">
        <f t="shared" si="28"/>
        <v>19179655.9025</v>
      </c>
    </row>
    <row r="97" spans="1:17" ht="12.75" customHeight="1">
      <c r="A97" s="150" t="s">
        <v>355</v>
      </c>
      <c r="B97" s="48"/>
      <c r="C97" s="48"/>
      <c r="D97" s="43"/>
      <c r="E97" s="203"/>
      <c r="F97" s="64">
        <v>2658204969</v>
      </c>
      <c r="G97" s="53"/>
      <c r="H97" s="53"/>
      <c r="I97" s="53"/>
      <c r="J97" s="53"/>
      <c r="K97" s="53"/>
      <c r="L97" s="505" t="s">
        <v>388</v>
      </c>
      <c r="M97" s="506">
        <f>M96/L96</f>
        <v>3.1143306921515686E-2</v>
      </c>
      <c r="N97" s="53"/>
      <c r="O97" s="53"/>
      <c r="P97" s="53"/>
      <c r="Q97" s="53"/>
    </row>
    <row r="98" spans="1:17" ht="12.75" customHeight="1">
      <c r="A98" s="151" t="s">
        <v>30</v>
      </c>
      <c r="B98" s="51"/>
      <c r="C98" s="51"/>
      <c r="D98" s="52"/>
      <c r="E98" s="203"/>
      <c r="F98" s="152">
        <f>(F96-F97)</f>
        <v>-25.410000324249268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1:17" ht="12.75" customHeight="1">
      <c r="A99" s="54" t="s">
        <v>79</v>
      </c>
      <c r="B99" s="48"/>
      <c r="C99" s="48"/>
      <c r="D99" s="43"/>
      <c r="E99" s="173"/>
      <c r="F99" s="43"/>
      <c r="G99" s="64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1:17" ht="12.75" customHeight="1">
      <c r="A100" s="50"/>
      <c r="B100" s="51"/>
      <c r="C100" s="51"/>
      <c r="D100" s="52"/>
      <c r="E100" s="65">
        <v>4532469</v>
      </c>
      <c r="F100" s="52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2.75" customHeight="1">
      <c r="A101" s="49" t="s">
        <v>15</v>
      </c>
      <c r="B101" s="403">
        <v>1.3480000000000001</v>
      </c>
      <c r="C101" s="48">
        <v>0</v>
      </c>
      <c r="D101" s="43">
        <v>950</v>
      </c>
      <c r="E101" s="173">
        <f>G101/B101*100</f>
        <v>1884554.1543026706</v>
      </c>
      <c r="F101" s="43">
        <v>47289846</v>
      </c>
      <c r="G101" s="53">
        <v>25403.79</v>
      </c>
      <c r="H101" s="53">
        <v>613093.63</v>
      </c>
      <c r="I101" s="53">
        <v>0</v>
      </c>
      <c r="J101" s="53">
        <v>1030.4100000000001</v>
      </c>
      <c r="K101" s="53">
        <v>15.39</v>
      </c>
      <c r="L101" s="53">
        <f>G101+H101+I101-J101+K101</f>
        <v>637482.4</v>
      </c>
      <c r="M101" s="53">
        <v>43899.87</v>
      </c>
      <c r="N101" s="53">
        <f>L101-M101</f>
        <v>593582.53</v>
      </c>
      <c r="O101" s="53">
        <v>0</v>
      </c>
      <c r="P101" s="53">
        <v>0</v>
      </c>
      <c r="Q101" s="53">
        <f>N101-O101-P101</f>
        <v>593582.53</v>
      </c>
    </row>
    <row r="102" spans="1:17" ht="12.75" customHeight="1">
      <c r="A102" s="47" t="s">
        <v>16</v>
      </c>
      <c r="B102" s="48">
        <f>B101</f>
        <v>1.3480000000000001</v>
      </c>
      <c r="C102" s="48">
        <f>C101</f>
        <v>0</v>
      </c>
      <c r="D102" s="43"/>
      <c r="E102" s="173"/>
      <c r="F102" s="65">
        <f>IF(E100&gt;E101,E100-E101,0)</f>
        <v>2647914.8456973294</v>
      </c>
      <c r="G102" s="53">
        <f>F102*(B102-C102)/100</f>
        <v>35693.892120000004</v>
      </c>
      <c r="H102" s="53"/>
      <c r="I102" s="53">
        <f>F102*C102/100</f>
        <v>0</v>
      </c>
      <c r="J102" s="53"/>
      <c r="K102" s="53"/>
      <c r="L102" s="53">
        <f>G102+H102+I102-J102+K102</f>
        <v>35693.892120000004</v>
      </c>
      <c r="M102" s="53"/>
      <c r="N102" s="53">
        <f>L102-M102</f>
        <v>35693.892120000004</v>
      </c>
      <c r="O102" s="53"/>
      <c r="P102" s="53"/>
      <c r="Q102" s="53">
        <f>N102-O102-P102</f>
        <v>35693.892120000004</v>
      </c>
    </row>
    <row r="103" spans="1:17" ht="12.75" customHeight="1">
      <c r="A103" s="47" t="s">
        <v>17</v>
      </c>
      <c r="B103" s="48">
        <f>B101</f>
        <v>1.3480000000000001</v>
      </c>
      <c r="C103" s="48">
        <f>C101</f>
        <v>0</v>
      </c>
      <c r="D103" s="43"/>
      <c r="E103" s="173"/>
      <c r="F103" s="66">
        <v>2798431</v>
      </c>
      <c r="G103" s="53"/>
      <c r="H103" s="53">
        <f>F103*(B103-C103)/100</f>
        <v>37722.849880000002</v>
      </c>
      <c r="I103" s="53">
        <f>F103*C103/100</f>
        <v>0</v>
      </c>
      <c r="J103" s="53">
        <v>0</v>
      </c>
      <c r="K103" s="53">
        <v>0</v>
      </c>
      <c r="L103" s="53">
        <f>G103+H103+I103-J103+K103</f>
        <v>37722.849880000002</v>
      </c>
      <c r="M103" s="53">
        <v>0</v>
      </c>
      <c r="N103" s="53">
        <f>L103-M103</f>
        <v>37722.849880000002</v>
      </c>
      <c r="O103" s="53">
        <v>0</v>
      </c>
      <c r="P103" s="53">
        <v>0</v>
      </c>
      <c r="Q103" s="53">
        <f>N103-O103-P103</f>
        <v>37722.849880000002</v>
      </c>
    </row>
    <row r="104" spans="1:17" ht="12.75" customHeight="1">
      <c r="A104" s="47" t="s">
        <v>18</v>
      </c>
      <c r="B104" s="48"/>
      <c r="C104" s="48"/>
      <c r="D104" s="43"/>
      <c r="E104" s="173"/>
      <c r="F104" s="4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</row>
    <row r="105" spans="1:17" ht="12.75" customHeight="1">
      <c r="A105" s="67" t="s">
        <v>19</v>
      </c>
      <c r="B105" s="48">
        <f>B101</f>
        <v>1.3480000000000001</v>
      </c>
      <c r="C105" s="48">
        <f>C101</f>
        <v>0</v>
      </c>
      <c r="D105" s="43"/>
      <c r="E105" s="173"/>
      <c r="F105" s="43">
        <v>6897810.2000000002</v>
      </c>
      <c r="G105" s="53">
        <v>936.74</v>
      </c>
      <c r="H105" s="53">
        <v>92062.49</v>
      </c>
      <c r="I105" s="53">
        <v>0</v>
      </c>
      <c r="J105" s="53">
        <v>1242.0899999999999</v>
      </c>
      <c r="K105" s="53">
        <v>0</v>
      </c>
      <c r="L105" s="53">
        <f>G105+H105+I105-J105+K105</f>
        <v>91757.140000000014</v>
      </c>
      <c r="M105" s="53">
        <v>1543.08</v>
      </c>
      <c r="N105" s="53">
        <f>L105-M105</f>
        <v>90214.060000000012</v>
      </c>
      <c r="O105" s="53">
        <v>0</v>
      </c>
      <c r="P105" s="53">
        <v>0</v>
      </c>
      <c r="Q105" s="53">
        <f>N105-O105-P105</f>
        <v>90214.060000000012</v>
      </c>
    </row>
    <row r="106" spans="1:17" ht="12.75" customHeight="1">
      <c r="A106" s="67" t="s">
        <v>20</v>
      </c>
      <c r="B106" s="48">
        <f>B101</f>
        <v>1.3480000000000001</v>
      </c>
      <c r="C106" s="48">
        <f>C101</f>
        <v>0</v>
      </c>
      <c r="D106" s="43"/>
      <c r="E106" s="173"/>
      <c r="F106" s="43">
        <v>391943.81</v>
      </c>
      <c r="G106" s="53">
        <v>4728.66</v>
      </c>
      <c r="H106" s="53">
        <v>554.67999999999995</v>
      </c>
      <c r="I106" s="53">
        <v>0</v>
      </c>
      <c r="J106" s="53">
        <v>0</v>
      </c>
      <c r="K106" s="53">
        <v>0</v>
      </c>
      <c r="L106" s="53">
        <f>G106+H106+I106-J106+K106</f>
        <v>5283.34</v>
      </c>
      <c r="M106" s="53">
        <v>0.88</v>
      </c>
      <c r="N106" s="53">
        <f>L106-M106</f>
        <v>5282.46</v>
      </c>
      <c r="O106" s="53">
        <v>0</v>
      </c>
      <c r="P106" s="53">
        <v>0</v>
      </c>
      <c r="Q106" s="53">
        <f>N106-O106-P106</f>
        <v>5282.46</v>
      </c>
    </row>
    <row r="107" spans="1:17" ht="12.75" customHeight="1">
      <c r="A107" s="47"/>
      <c r="B107" s="48"/>
      <c r="C107" s="48"/>
      <c r="D107" s="43"/>
      <c r="E107" s="173"/>
      <c r="F107" s="4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1:17" s="50" customFormat="1" ht="12.75" customHeight="1" thickBot="1">
      <c r="A108" s="60" t="str">
        <f>"TOTAL "&amp;A99</f>
        <v>TOTAL CITY OF CARLIN</v>
      </c>
      <c r="B108" s="68">
        <f>B101</f>
        <v>1.3480000000000001</v>
      </c>
      <c r="C108" s="68">
        <f>C101</f>
        <v>0</v>
      </c>
      <c r="D108" s="69">
        <f t="shared" ref="D108:Q108" si="29">SUM(D101:D103,D105:D106)</f>
        <v>950</v>
      </c>
      <c r="E108" s="204"/>
      <c r="F108" s="69">
        <f t="shared" si="29"/>
        <v>60025945.855697334</v>
      </c>
      <c r="G108" s="70">
        <f t="shared" si="29"/>
        <v>66763.082120000006</v>
      </c>
      <c r="H108" s="70">
        <f t="shared" si="29"/>
        <v>743433.64988000004</v>
      </c>
      <c r="I108" s="70">
        <f t="shared" si="29"/>
        <v>0</v>
      </c>
      <c r="J108" s="70">
        <f t="shared" si="29"/>
        <v>2272.5</v>
      </c>
      <c r="K108" s="70">
        <f t="shared" si="29"/>
        <v>15.39</v>
      </c>
      <c r="L108" s="70">
        <f t="shared" si="29"/>
        <v>807939.62199999997</v>
      </c>
      <c r="M108" s="70">
        <f t="shared" si="29"/>
        <v>45443.83</v>
      </c>
      <c r="N108" s="70">
        <f t="shared" si="29"/>
        <v>762495.79200000002</v>
      </c>
      <c r="O108" s="70">
        <f t="shared" si="29"/>
        <v>0</v>
      </c>
      <c r="P108" s="70">
        <f t="shared" si="29"/>
        <v>0</v>
      </c>
      <c r="Q108" s="70">
        <f t="shared" si="29"/>
        <v>762495.79200000002</v>
      </c>
    </row>
    <row r="109" spans="1:17" ht="12.75" customHeight="1">
      <c r="A109" s="150" t="s">
        <v>355</v>
      </c>
      <c r="B109" s="48"/>
      <c r="C109" s="48"/>
      <c r="D109" s="43"/>
      <c r="E109" s="173"/>
      <c r="F109" s="64">
        <v>59935044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1:17" ht="12.75" customHeight="1">
      <c r="A110" s="151" t="s">
        <v>30</v>
      </c>
      <c r="B110" s="51"/>
      <c r="C110" s="51"/>
      <c r="D110" s="52"/>
      <c r="E110" s="173"/>
      <c r="F110" s="152">
        <f>F108-F109</f>
        <v>90901.855697333813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1:17" ht="12.75" customHeight="1">
      <c r="A111" s="54" t="s">
        <v>80</v>
      </c>
      <c r="B111" s="51"/>
      <c r="C111" s="51"/>
      <c r="D111" s="52"/>
      <c r="E111" s="203"/>
      <c r="F111" s="52"/>
      <c r="G111" s="64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17" ht="12.75" customHeight="1">
      <c r="A112" s="47"/>
      <c r="B112" s="48"/>
      <c r="C112" s="48"/>
      <c r="D112" s="43"/>
      <c r="E112" s="65">
        <v>52585473</v>
      </c>
      <c r="F112" s="4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2.75" customHeight="1">
      <c r="A113" s="49" t="s">
        <v>15</v>
      </c>
      <c r="B113" s="48">
        <v>1.2977000000000001</v>
      </c>
      <c r="C113" s="48">
        <v>0</v>
      </c>
      <c r="D113" s="43">
        <v>6595</v>
      </c>
      <c r="E113" s="173">
        <f>G113/B113*100</f>
        <v>4272522.9251753092</v>
      </c>
      <c r="F113" s="43">
        <v>737804096</v>
      </c>
      <c r="G113" s="53">
        <v>55444.53</v>
      </c>
      <c r="H113" s="53">
        <v>9530429.8200000003</v>
      </c>
      <c r="I113" s="53">
        <v>0</v>
      </c>
      <c r="J113" s="53">
        <v>19240.16</v>
      </c>
      <c r="K113" s="53">
        <v>79.42</v>
      </c>
      <c r="L113" s="53">
        <f>G113+H113+I113-J113+K113</f>
        <v>9566713.6099999994</v>
      </c>
      <c r="M113" s="53">
        <v>501581.11</v>
      </c>
      <c r="N113" s="53">
        <f>L113-M113</f>
        <v>9065132.5</v>
      </c>
      <c r="O113" s="53">
        <v>168437.7</v>
      </c>
      <c r="P113" s="53">
        <v>0</v>
      </c>
      <c r="Q113" s="53">
        <f>N113-O113-P113</f>
        <v>8896694.8000000007</v>
      </c>
    </row>
    <row r="114" spans="1:17" ht="12.75" customHeight="1">
      <c r="A114" s="47" t="s">
        <v>16</v>
      </c>
      <c r="B114" s="48">
        <f>B113</f>
        <v>1.2977000000000001</v>
      </c>
      <c r="C114" s="48">
        <f>C113</f>
        <v>0</v>
      </c>
      <c r="D114" s="43"/>
      <c r="E114" s="173"/>
      <c r="F114" s="65">
        <f>IF(E112&gt;E113,E112-E113,0)</f>
        <v>48312950.074824691</v>
      </c>
      <c r="G114" s="53">
        <f>F114*(B114-C114)/100</f>
        <v>626957.15312100004</v>
      </c>
      <c r="H114" s="53"/>
      <c r="I114" s="53">
        <f>F114*C114/100</f>
        <v>0</v>
      </c>
      <c r="J114" s="53"/>
      <c r="K114" s="53"/>
      <c r="L114" s="53">
        <f>G114+H114+I114-J114+K114</f>
        <v>626957.15312100004</v>
      </c>
      <c r="M114" s="53"/>
      <c r="N114" s="53">
        <f>L114-M114</f>
        <v>626957.15312100004</v>
      </c>
      <c r="O114" s="53"/>
      <c r="P114" s="53"/>
      <c r="Q114" s="53">
        <f>N114-O114-P114</f>
        <v>626957.15312100004</v>
      </c>
    </row>
    <row r="115" spans="1:17" ht="12.75" customHeight="1">
      <c r="A115" s="47" t="s">
        <v>17</v>
      </c>
      <c r="B115" s="48">
        <f>B113</f>
        <v>1.2977000000000001</v>
      </c>
      <c r="C115" s="48">
        <f>C113</f>
        <v>0</v>
      </c>
      <c r="D115" s="43"/>
      <c r="E115" s="173"/>
      <c r="F115" s="66">
        <v>65491344</v>
      </c>
      <c r="G115" s="53"/>
      <c r="H115" s="53">
        <f>F115*(B115-C115)/100</f>
        <v>849881.17108800006</v>
      </c>
      <c r="I115" s="53">
        <f>F115*C115/100</f>
        <v>0</v>
      </c>
      <c r="J115" s="53">
        <v>0</v>
      </c>
      <c r="K115" s="53">
        <v>0</v>
      </c>
      <c r="L115" s="53">
        <f>G115+H115+I115-J115+K115</f>
        <v>849881.17108800006</v>
      </c>
      <c r="M115" s="53">
        <v>0</v>
      </c>
      <c r="N115" s="53">
        <f>L115-M115</f>
        <v>849881.17108800006</v>
      </c>
      <c r="O115" s="53">
        <v>0</v>
      </c>
      <c r="P115" s="53">
        <v>0</v>
      </c>
      <c r="Q115" s="53">
        <f>N115-O115-P115</f>
        <v>849881.17108800006</v>
      </c>
    </row>
    <row r="116" spans="1:17" ht="12.75" customHeight="1">
      <c r="A116" s="47" t="s">
        <v>18</v>
      </c>
      <c r="B116" s="48"/>
      <c r="C116" s="48"/>
      <c r="D116" s="43"/>
      <c r="E116" s="173"/>
      <c r="F116" s="4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2.75" customHeight="1">
      <c r="A117" s="67" t="s">
        <v>19</v>
      </c>
      <c r="B117" s="48">
        <f>B113</f>
        <v>1.2977000000000001</v>
      </c>
      <c r="C117" s="48">
        <f>C113</f>
        <v>0</v>
      </c>
      <c r="D117" s="43"/>
      <c r="E117" s="173"/>
      <c r="F117" s="13">
        <v>29360866.199999999</v>
      </c>
      <c r="G117" s="53">
        <v>6627.19</v>
      </c>
      <c r="H117" s="53">
        <v>374454.64</v>
      </c>
      <c r="I117" s="53">
        <v>0</v>
      </c>
      <c r="J117" s="53">
        <v>5076.63</v>
      </c>
      <c r="K117" s="53">
        <v>0</v>
      </c>
      <c r="L117" s="53">
        <f>G117+H117+I117-J117+K117</f>
        <v>376005.2</v>
      </c>
      <c r="M117" s="53">
        <v>22611.33</v>
      </c>
      <c r="N117" s="53">
        <f>L117-M117</f>
        <v>353393.87</v>
      </c>
      <c r="O117" s="53">
        <v>0</v>
      </c>
      <c r="P117" s="53">
        <v>0</v>
      </c>
      <c r="Q117" s="53">
        <f>N117-O117-P117</f>
        <v>353393.87</v>
      </c>
    </row>
    <row r="118" spans="1:17" ht="12.75" customHeight="1">
      <c r="A118" s="67" t="s">
        <v>20</v>
      </c>
      <c r="B118" s="48">
        <f>B113</f>
        <v>1.2977000000000001</v>
      </c>
      <c r="C118" s="48">
        <f>C113</f>
        <v>0</v>
      </c>
      <c r="D118" s="43"/>
      <c r="E118" s="173"/>
      <c r="F118" s="43">
        <v>2158327.9</v>
      </c>
      <c r="G118" s="53">
        <v>27361.18</v>
      </c>
      <c r="H118" s="53">
        <v>647.41</v>
      </c>
      <c r="I118" s="53">
        <v>0</v>
      </c>
      <c r="J118" s="53">
        <v>0</v>
      </c>
      <c r="K118" s="53">
        <v>0</v>
      </c>
      <c r="L118" s="53">
        <f>G118+H118+I118-J118+K118</f>
        <v>28008.59</v>
      </c>
      <c r="M118" s="53">
        <v>1.1499999999999999</v>
      </c>
      <c r="N118" s="53">
        <f>L118-M118</f>
        <v>28007.439999999999</v>
      </c>
      <c r="O118" s="53">
        <v>0</v>
      </c>
      <c r="P118" s="53">
        <v>0</v>
      </c>
      <c r="Q118" s="53">
        <f>N118-O118-P118</f>
        <v>28007.439999999999</v>
      </c>
    </row>
    <row r="119" spans="1:17" ht="12.75" customHeight="1">
      <c r="A119" s="47"/>
      <c r="B119" s="48"/>
      <c r="C119" s="48"/>
      <c r="D119" s="43"/>
      <c r="E119" s="173"/>
      <c r="F119" s="4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</row>
    <row r="120" spans="1:17" s="50" customFormat="1" ht="12.75" customHeight="1" thickBot="1">
      <c r="A120" s="60" t="str">
        <f>"TOTAL "&amp;A111</f>
        <v>TOTAL CITY OF ELKO</v>
      </c>
      <c r="B120" s="68">
        <f>B113</f>
        <v>1.2977000000000001</v>
      </c>
      <c r="C120" s="68">
        <f>C113</f>
        <v>0</v>
      </c>
      <c r="D120" s="69">
        <f t="shared" ref="D120:Q120" si="30">SUM(D113:D115,D117:D118)</f>
        <v>6595</v>
      </c>
      <c r="E120" s="204"/>
      <c r="F120" s="69">
        <f t="shared" si="30"/>
        <v>883127584.17482471</v>
      </c>
      <c r="G120" s="70">
        <f t="shared" si="30"/>
        <v>716390.05312100006</v>
      </c>
      <c r="H120" s="70">
        <f t="shared" si="30"/>
        <v>10755413.041088002</v>
      </c>
      <c r="I120" s="70">
        <f t="shared" si="30"/>
        <v>0</v>
      </c>
      <c r="J120" s="70">
        <f t="shared" si="30"/>
        <v>24316.79</v>
      </c>
      <c r="K120" s="70">
        <f t="shared" si="30"/>
        <v>79.42</v>
      </c>
      <c r="L120" s="70">
        <f t="shared" si="30"/>
        <v>11447565.724208999</v>
      </c>
      <c r="M120" s="70">
        <f t="shared" si="30"/>
        <v>524193.59</v>
      </c>
      <c r="N120" s="70">
        <f t="shared" si="30"/>
        <v>10923372.134209</v>
      </c>
      <c r="O120" s="70">
        <f>SUM(O113:O115,O117:O118)</f>
        <v>168437.7</v>
      </c>
      <c r="P120" s="70">
        <f>SUM(P113:P115,P117:P118)</f>
        <v>0</v>
      </c>
      <c r="Q120" s="70">
        <f t="shared" si="30"/>
        <v>10754934.434209</v>
      </c>
    </row>
    <row r="121" spans="1:17" ht="12.75" customHeight="1">
      <c r="A121" s="150" t="s">
        <v>355</v>
      </c>
      <c r="B121" s="48"/>
      <c r="C121" s="48"/>
      <c r="D121" s="43"/>
      <c r="E121" s="173"/>
      <c r="F121" s="64">
        <v>882741467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</row>
    <row r="122" spans="1:17" ht="12.75" customHeight="1">
      <c r="A122" s="151" t="s">
        <v>30</v>
      </c>
      <c r="B122" s="51"/>
      <c r="C122" s="51"/>
      <c r="D122" s="52"/>
      <c r="E122" s="173"/>
      <c r="F122" s="152">
        <f>F120-F121</f>
        <v>386117.17482471466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1:17" ht="12.75" customHeight="1">
      <c r="A123" s="54" t="s">
        <v>81</v>
      </c>
      <c r="B123" s="48"/>
      <c r="C123" s="48"/>
      <c r="D123" s="43"/>
      <c r="E123" s="173"/>
      <c r="F123" s="43"/>
      <c r="G123" s="64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ht="12.75" customHeight="1">
      <c r="A124" s="47"/>
      <c r="B124" s="48"/>
      <c r="C124" s="48"/>
      <c r="D124" s="43"/>
      <c r="E124" s="65">
        <v>2371171</v>
      </c>
      <c r="F124" s="4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1:17" ht="12.75" customHeight="1">
      <c r="A125" s="49" t="s">
        <v>15</v>
      </c>
      <c r="B125" s="48">
        <v>1.3513999999999999</v>
      </c>
      <c r="C125" s="48">
        <v>0</v>
      </c>
      <c r="D125" s="43">
        <v>819</v>
      </c>
      <c r="E125" s="173">
        <f>G125/B125*100</f>
        <v>119573.03537072666</v>
      </c>
      <c r="F125" s="43">
        <v>38248900</v>
      </c>
      <c r="G125" s="53">
        <v>1615.91</v>
      </c>
      <c r="H125" s="53">
        <v>513613.62</v>
      </c>
      <c r="I125" s="53">
        <v>0</v>
      </c>
      <c r="J125" s="53">
        <v>1432.75</v>
      </c>
      <c r="K125" s="53">
        <v>0</v>
      </c>
      <c r="L125" s="53">
        <f>G125+H125+I125-J125+K125</f>
        <v>513796.77999999997</v>
      </c>
      <c r="M125" s="53">
        <v>41152.68</v>
      </c>
      <c r="N125" s="53">
        <f>L125-M125</f>
        <v>472644.1</v>
      </c>
      <c r="O125" s="53">
        <v>46531.19</v>
      </c>
      <c r="P125" s="53">
        <v>0</v>
      </c>
      <c r="Q125" s="53">
        <f>N125-O125-P125</f>
        <v>426112.91</v>
      </c>
    </row>
    <row r="126" spans="1:17" ht="12.75" customHeight="1">
      <c r="A126" s="47" t="s">
        <v>16</v>
      </c>
      <c r="B126" s="48">
        <f>B125</f>
        <v>1.3513999999999999</v>
      </c>
      <c r="C126" s="48">
        <f>C125</f>
        <v>0</v>
      </c>
      <c r="D126" s="43"/>
      <c r="E126" s="173"/>
      <c r="F126" s="65">
        <f>IF(E124&gt;E125,E124-E125,0)</f>
        <v>2251597.9646292734</v>
      </c>
      <c r="G126" s="53">
        <f>F126*(B126-C126)/100</f>
        <v>30428.094893999998</v>
      </c>
      <c r="H126" s="53"/>
      <c r="I126" s="53">
        <f>F126*C126/100</f>
        <v>0</v>
      </c>
      <c r="J126" s="53"/>
      <c r="K126" s="53"/>
      <c r="L126" s="53">
        <f>G126+H126+I126-J126+K126</f>
        <v>30428.094893999998</v>
      </c>
      <c r="M126" s="53"/>
      <c r="N126" s="53">
        <f>L126-M126</f>
        <v>30428.094893999998</v>
      </c>
      <c r="O126" s="53"/>
      <c r="P126" s="53"/>
      <c r="Q126" s="53">
        <f>N126-O126-P126</f>
        <v>30428.094893999998</v>
      </c>
    </row>
    <row r="127" spans="1:17" ht="12.75" customHeight="1">
      <c r="A127" s="47" t="s">
        <v>17</v>
      </c>
      <c r="B127" s="48">
        <f>B125</f>
        <v>1.3513999999999999</v>
      </c>
      <c r="C127" s="48">
        <f>C125</f>
        <v>0</v>
      </c>
      <c r="D127" s="43"/>
      <c r="E127" s="173"/>
      <c r="F127" s="66">
        <v>3590089</v>
      </c>
      <c r="G127" s="53"/>
      <c r="H127" s="53">
        <f>F127*(B127-C127)/100</f>
        <v>48516.462746000005</v>
      </c>
      <c r="I127" s="53">
        <f>F127*C127/100</f>
        <v>0</v>
      </c>
      <c r="J127" s="53">
        <v>0</v>
      </c>
      <c r="K127" s="53">
        <v>0</v>
      </c>
      <c r="L127" s="53">
        <f>G127+H127+I127-J127+K127</f>
        <v>48516.462746000005</v>
      </c>
      <c r="M127" s="53">
        <v>0</v>
      </c>
      <c r="N127" s="53">
        <f>L127-M127</f>
        <v>48516.462746000005</v>
      </c>
      <c r="O127" s="53">
        <v>0</v>
      </c>
      <c r="P127" s="53">
        <v>0</v>
      </c>
      <c r="Q127" s="53">
        <f>N127-O127-P127</f>
        <v>48516.462746000005</v>
      </c>
    </row>
    <row r="128" spans="1:17" ht="12.75" customHeight="1">
      <c r="A128" s="47" t="s">
        <v>18</v>
      </c>
      <c r="B128" s="48"/>
      <c r="C128" s="48"/>
      <c r="D128" s="43"/>
      <c r="E128" s="173"/>
      <c r="F128" s="4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</row>
    <row r="129" spans="1:19" ht="12.75" customHeight="1">
      <c r="A129" s="67" t="s">
        <v>19</v>
      </c>
      <c r="B129" s="48">
        <f>B125</f>
        <v>1.3513999999999999</v>
      </c>
      <c r="C129" s="48">
        <f>C125</f>
        <v>0</v>
      </c>
      <c r="D129" s="43"/>
      <c r="E129" s="173"/>
      <c r="F129" s="43">
        <v>4244262.1900000004</v>
      </c>
      <c r="G129" s="53">
        <v>1524.76</v>
      </c>
      <c r="H129" s="53">
        <v>55844.160000000003</v>
      </c>
      <c r="I129" s="53">
        <f>F129*C129/100</f>
        <v>0</v>
      </c>
      <c r="J129" s="53">
        <v>886.57</v>
      </c>
      <c r="K129" s="53">
        <v>0</v>
      </c>
      <c r="L129" s="53">
        <f>G129+H129+I129-J129+K129</f>
        <v>56482.350000000006</v>
      </c>
      <c r="M129" s="53">
        <v>4.83</v>
      </c>
      <c r="N129" s="53">
        <f>L129-M129</f>
        <v>56477.520000000004</v>
      </c>
      <c r="O129" s="53">
        <v>371.59</v>
      </c>
      <c r="P129" s="53">
        <v>0</v>
      </c>
      <c r="Q129" s="53">
        <f>N129-O129-P129</f>
        <v>56105.930000000008</v>
      </c>
    </row>
    <row r="130" spans="1:19" ht="12.75" customHeight="1">
      <c r="A130" s="67" t="s">
        <v>20</v>
      </c>
      <c r="B130" s="48">
        <f>B125</f>
        <v>1.3513999999999999</v>
      </c>
      <c r="C130" s="48">
        <f>C125</f>
        <v>0</v>
      </c>
      <c r="D130" s="43"/>
      <c r="E130" s="173"/>
      <c r="F130" s="43">
        <v>72270.34</v>
      </c>
      <c r="G130" s="53">
        <v>571.49</v>
      </c>
      <c r="H130" s="53">
        <v>405.11</v>
      </c>
      <c r="I130" s="53">
        <v>0</v>
      </c>
      <c r="J130" s="53">
        <v>0</v>
      </c>
      <c r="K130" s="53">
        <v>0</v>
      </c>
      <c r="L130" s="53">
        <f>G130+H130+I130-J130+K130</f>
        <v>976.6</v>
      </c>
      <c r="M130" s="53">
        <v>0.64</v>
      </c>
      <c r="N130" s="53">
        <f>L130-M130</f>
        <v>975.96</v>
      </c>
      <c r="O130" s="53">
        <v>10.02</v>
      </c>
      <c r="P130" s="53">
        <v>0</v>
      </c>
      <c r="Q130" s="53">
        <f>N130-O130-P130</f>
        <v>965.94</v>
      </c>
    </row>
    <row r="131" spans="1:19" ht="12.75" customHeight="1">
      <c r="A131" s="47"/>
      <c r="B131" s="48"/>
      <c r="C131" s="48"/>
      <c r="D131" s="43"/>
      <c r="E131" s="173"/>
      <c r="F131" s="4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</row>
    <row r="132" spans="1:19" s="50" customFormat="1" ht="12.75" customHeight="1" thickBot="1">
      <c r="A132" s="60" t="str">
        <f>"TOTAL "&amp;A123</f>
        <v>TOTAL CITY OF WELLS</v>
      </c>
      <c r="B132" s="68">
        <f>B125</f>
        <v>1.3513999999999999</v>
      </c>
      <c r="C132" s="68">
        <f>C125</f>
        <v>0</v>
      </c>
      <c r="D132" s="69">
        <f t="shared" ref="D132:Q132" si="31">SUM(D125:D127,D129:D130)</f>
        <v>819</v>
      </c>
      <c r="E132" s="204"/>
      <c r="F132" s="69">
        <f t="shared" si="31"/>
        <v>48407119.494629271</v>
      </c>
      <c r="G132" s="70">
        <f t="shared" si="31"/>
        <v>34140.254893999998</v>
      </c>
      <c r="H132" s="70">
        <f t="shared" si="31"/>
        <v>618379.35274600005</v>
      </c>
      <c r="I132" s="70">
        <f t="shared" si="31"/>
        <v>0</v>
      </c>
      <c r="J132" s="70">
        <f t="shared" si="31"/>
        <v>2319.3200000000002</v>
      </c>
      <c r="K132" s="70">
        <f t="shared" si="31"/>
        <v>0</v>
      </c>
      <c r="L132" s="70">
        <f t="shared" si="31"/>
        <v>650200.28764</v>
      </c>
      <c r="M132" s="70">
        <f t="shared" si="31"/>
        <v>41158.15</v>
      </c>
      <c r="N132" s="70">
        <f t="shared" si="31"/>
        <v>609042.13763999997</v>
      </c>
      <c r="O132" s="70">
        <f t="shared" si="31"/>
        <v>46912.799999999996</v>
      </c>
      <c r="P132" s="70">
        <f t="shared" si="31"/>
        <v>0</v>
      </c>
      <c r="Q132" s="70">
        <f t="shared" si="31"/>
        <v>562129.33763999993</v>
      </c>
    </row>
    <row r="133" spans="1:19" ht="12.75" customHeight="1">
      <c r="A133" s="150" t="s">
        <v>355</v>
      </c>
      <c r="B133" s="48"/>
      <c r="C133" s="48"/>
      <c r="D133" s="43"/>
      <c r="E133" s="173"/>
      <c r="F133" s="64">
        <v>48342401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</row>
    <row r="134" spans="1:19" ht="12.75" customHeight="1">
      <c r="A134" s="151" t="s">
        <v>30</v>
      </c>
      <c r="B134" s="51"/>
      <c r="C134" s="51"/>
      <c r="D134" s="52"/>
      <c r="E134" s="173"/>
      <c r="F134" s="152">
        <f>F132-F133</f>
        <v>64718.494629271328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pans="1:19" ht="12.75" customHeight="1">
      <c r="A135" s="54" t="s">
        <v>82</v>
      </c>
      <c r="B135" s="48"/>
      <c r="C135" s="48"/>
      <c r="D135" s="43"/>
      <c r="F135" s="43"/>
      <c r="G135" s="64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1:19" ht="12.75" customHeight="1">
      <c r="A136" s="47"/>
      <c r="B136" s="48"/>
      <c r="C136" s="48"/>
      <c r="D136" s="43"/>
      <c r="E136" s="65">
        <v>7825514</v>
      </c>
      <c r="F136" s="4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</row>
    <row r="137" spans="1:19" ht="12.75" customHeight="1">
      <c r="A137" s="49" t="s">
        <v>15</v>
      </c>
      <c r="B137" s="48">
        <v>1.3513999999999999</v>
      </c>
      <c r="C137" s="48">
        <v>0</v>
      </c>
      <c r="D137" s="43">
        <v>827</v>
      </c>
      <c r="E137" s="173">
        <f>G137/B137*100</f>
        <v>1772440.4321444428</v>
      </c>
      <c r="F137" s="43">
        <v>148174262</v>
      </c>
      <c r="G137" s="53">
        <v>23952.76</v>
      </c>
      <c r="H137" s="53">
        <v>1978916.76</v>
      </c>
      <c r="I137" s="53">
        <v>0</v>
      </c>
      <c r="J137" s="53">
        <v>442.7</v>
      </c>
      <c r="K137" s="53">
        <v>0</v>
      </c>
      <c r="L137" s="53">
        <f>G137+H137+I137-J137+K137</f>
        <v>2002426.82</v>
      </c>
      <c r="M137" s="53">
        <v>41496.57</v>
      </c>
      <c r="N137" s="53">
        <f>L137-M137</f>
        <v>1960930.25</v>
      </c>
      <c r="O137" s="53">
        <v>0</v>
      </c>
      <c r="P137" s="53">
        <v>0</v>
      </c>
      <c r="Q137" s="53">
        <f>N137-O137-P137</f>
        <v>1960930.25</v>
      </c>
    </row>
    <row r="138" spans="1:19" ht="12.75" customHeight="1">
      <c r="A138" s="47" t="s">
        <v>16</v>
      </c>
      <c r="B138" s="48">
        <f>B137</f>
        <v>1.3513999999999999</v>
      </c>
      <c r="C138" s="48">
        <f>C137</f>
        <v>0</v>
      </c>
      <c r="D138" s="43"/>
      <c r="E138" s="173"/>
      <c r="F138" s="65">
        <f>IF(E136&gt;E137,E136-E137,0)</f>
        <v>6053073.5678555574</v>
      </c>
      <c r="G138" s="53">
        <f>F138*(B138-C138)/100</f>
        <v>81801.236195999998</v>
      </c>
      <c r="H138" s="53"/>
      <c r="I138" s="53">
        <f>F138*C138/100</f>
        <v>0</v>
      </c>
      <c r="J138" s="53"/>
      <c r="K138" s="53"/>
      <c r="L138" s="53">
        <f>G138+H138+I138-J138+K138</f>
        <v>81801.236195999998</v>
      </c>
      <c r="M138" s="53"/>
      <c r="N138" s="53">
        <f>L138-M138</f>
        <v>81801.236195999998</v>
      </c>
      <c r="O138" s="53"/>
      <c r="P138" s="53"/>
      <c r="Q138" s="53">
        <f>N138-O138-P138</f>
        <v>81801.236195999998</v>
      </c>
    </row>
    <row r="139" spans="1:19" ht="12.75" customHeight="1">
      <c r="A139" s="47" t="s">
        <v>17</v>
      </c>
      <c r="B139" s="48">
        <f>B137</f>
        <v>1.3513999999999999</v>
      </c>
      <c r="C139" s="48">
        <f>C137</f>
        <v>0</v>
      </c>
      <c r="D139" s="43"/>
      <c r="E139" s="173"/>
      <c r="F139" s="66">
        <v>19638495</v>
      </c>
      <c r="G139" s="53"/>
      <c r="H139" s="53">
        <f>F139*(B139-C139)/100</f>
        <v>265394.62143</v>
      </c>
      <c r="I139" s="53">
        <f>F139*C139/100</f>
        <v>0</v>
      </c>
      <c r="J139" s="53">
        <v>0</v>
      </c>
      <c r="K139" s="53">
        <v>0</v>
      </c>
      <c r="L139" s="53">
        <f>G139+H139+I139-J139+K139</f>
        <v>265394.62143</v>
      </c>
      <c r="M139" s="53">
        <v>0</v>
      </c>
      <c r="N139" s="53">
        <f>L139-M139</f>
        <v>265394.62143</v>
      </c>
      <c r="O139" s="53">
        <v>0</v>
      </c>
      <c r="P139" s="53">
        <v>0</v>
      </c>
      <c r="Q139" s="53">
        <f>N139-O139-P139</f>
        <v>265394.62143</v>
      </c>
    </row>
    <row r="140" spans="1:19" ht="12.75" customHeight="1">
      <c r="A140" s="47" t="s">
        <v>18</v>
      </c>
      <c r="B140" s="48"/>
      <c r="C140" s="48"/>
      <c r="D140" s="43"/>
      <c r="E140" s="173"/>
      <c r="F140" s="4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</row>
    <row r="141" spans="1:19" ht="12.75" customHeight="1">
      <c r="A141" s="67" t="s">
        <v>19</v>
      </c>
      <c r="B141" s="48">
        <f>B137</f>
        <v>1.3513999999999999</v>
      </c>
      <c r="C141" s="48">
        <f>C137</f>
        <v>0</v>
      </c>
      <c r="D141" s="43"/>
      <c r="E141" s="173"/>
      <c r="F141" s="43">
        <v>2180353.94</v>
      </c>
      <c r="G141" s="53">
        <v>40.83</v>
      </c>
      <c r="H141" s="53">
        <v>29430.83</v>
      </c>
      <c r="I141" s="53">
        <v>0</v>
      </c>
      <c r="J141" s="53">
        <v>469.33</v>
      </c>
      <c r="K141" s="53">
        <v>0</v>
      </c>
      <c r="L141" s="53">
        <f>G141+H141+I141-J141+K141</f>
        <v>29002.33</v>
      </c>
      <c r="M141" s="53">
        <v>0</v>
      </c>
      <c r="N141" s="53">
        <f>L141-M141</f>
        <v>29002.33</v>
      </c>
      <c r="O141" s="53">
        <v>0</v>
      </c>
      <c r="P141" s="53">
        <v>0</v>
      </c>
      <c r="Q141" s="53">
        <f>N141-O141-P141</f>
        <v>29002.33</v>
      </c>
      <c r="S141" s="53"/>
    </row>
    <row r="142" spans="1:19" ht="12.75" customHeight="1">
      <c r="A142" s="67" t="s">
        <v>20</v>
      </c>
      <c r="B142" s="48">
        <f>B137</f>
        <v>1.3513999999999999</v>
      </c>
      <c r="C142" s="48">
        <f>C137</f>
        <v>0</v>
      </c>
      <c r="D142" s="43"/>
      <c r="E142" s="173"/>
      <c r="F142" s="43">
        <v>23821.64</v>
      </c>
      <c r="G142" s="53">
        <v>214.93</v>
      </c>
      <c r="H142" s="53">
        <v>106.91</v>
      </c>
      <c r="I142" s="53">
        <v>0</v>
      </c>
      <c r="J142" s="53">
        <v>0</v>
      </c>
      <c r="K142" s="53">
        <v>0</v>
      </c>
      <c r="L142" s="53">
        <f>G142+H142+I142-J142+K142</f>
        <v>321.84000000000003</v>
      </c>
      <c r="M142" s="53">
        <v>0.23</v>
      </c>
      <c r="N142" s="53">
        <f>L142-M142</f>
        <v>321.61</v>
      </c>
      <c r="O142" s="53">
        <v>0</v>
      </c>
      <c r="P142" s="53">
        <v>0</v>
      </c>
      <c r="Q142" s="53">
        <f>N142-O142-P142</f>
        <v>321.61</v>
      </c>
    </row>
    <row r="143" spans="1:19" ht="12.75" customHeight="1">
      <c r="A143" s="47"/>
      <c r="B143" s="48"/>
      <c r="C143" s="48"/>
      <c r="D143" s="43"/>
      <c r="E143" s="173"/>
      <c r="F143" s="4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1:19" s="50" customFormat="1" ht="12.75" customHeight="1" thickBot="1">
      <c r="A144" s="60" t="str">
        <f>"TOTAL "&amp;A135</f>
        <v>TOTAL CITY OF WEST WENDOVER</v>
      </c>
      <c r="B144" s="68">
        <f>B137</f>
        <v>1.3513999999999999</v>
      </c>
      <c r="C144" s="68">
        <f>C137</f>
        <v>0</v>
      </c>
      <c r="D144" s="69">
        <f t="shared" ref="D144:Q144" si="32">SUM(D137:D139,D141:D142)</f>
        <v>827</v>
      </c>
      <c r="E144" s="204"/>
      <c r="F144" s="69">
        <f t="shared" si="32"/>
        <v>176070006.14785555</v>
      </c>
      <c r="G144" s="70">
        <f t="shared" si="32"/>
        <v>106009.75619599999</v>
      </c>
      <c r="H144" s="70">
        <f t="shared" si="32"/>
        <v>2273849.1214300003</v>
      </c>
      <c r="I144" s="70">
        <f t="shared" si="32"/>
        <v>0</v>
      </c>
      <c r="J144" s="70">
        <f t="shared" si="32"/>
        <v>912.03</v>
      </c>
      <c r="K144" s="70">
        <f t="shared" si="32"/>
        <v>0</v>
      </c>
      <c r="L144" s="70">
        <f t="shared" si="32"/>
        <v>2378946.8476259997</v>
      </c>
      <c r="M144" s="70">
        <f t="shared" si="32"/>
        <v>41496.800000000003</v>
      </c>
      <c r="N144" s="70">
        <f t="shared" si="32"/>
        <v>2337450.0476259999</v>
      </c>
      <c r="O144" s="70">
        <f t="shared" si="32"/>
        <v>0</v>
      </c>
      <c r="P144" s="70">
        <f t="shared" si="32"/>
        <v>0</v>
      </c>
      <c r="Q144" s="70">
        <f t="shared" si="32"/>
        <v>2337450.0476259999</v>
      </c>
    </row>
    <row r="145" spans="1:19" ht="12.75" customHeight="1">
      <c r="A145" s="150" t="s">
        <v>355</v>
      </c>
      <c r="B145" s="48"/>
      <c r="C145" s="48"/>
      <c r="D145" s="43"/>
      <c r="E145" s="173"/>
      <c r="F145" s="64">
        <v>176035747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1:19" ht="12.75" customHeight="1">
      <c r="A146" s="151" t="s">
        <v>30</v>
      </c>
      <c r="B146" s="51"/>
      <c r="C146" s="51"/>
      <c r="D146" s="52"/>
      <c r="E146" s="173"/>
      <c r="F146" s="152">
        <f>F144-F145</f>
        <v>34259.147855550051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1:19" ht="12.75" customHeight="1">
      <c r="A147" s="54" t="s">
        <v>97</v>
      </c>
      <c r="E147" s="210"/>
      <c r="G147" s="64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1:19" ht="12.75" customHeight="1">
      <c r="E148" s="65">
        <v>1882057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1:19" ht="12.75" customHeight="1">
      <c r="A149" s="49" t="s">
        <v>15</v>
      </c>
      <c r="B149" s="48">
        <v>0.58909999999999996</v>
      </c>
      <c r="C149" s="48">
        <v>0</v>
      </c>
      <c r="D149" s="43">
        <v>185</v>
      </c>
      <c r="E149" s="173">
        <f>G149/B149*100</f>
        <v>370994.73773552879</v>
      </c>
      <c r="F149" s="43">
        <v>33050986</v>
      </c>
      <c r="G149" s="53">
        <v>2185.5300000000002</v>
      </c>
      <c r="H149" s="53">
        <v>192518.01</v>
      </c>
      <c r="I149" s="53">
        <v>0</v>
      </c>
      <c r="J149" s="53">
        <v>0</v>
      </c>
      <c r="K149" s="53">
        <v>93.05</v>
      </c>
      <c r="L149" s="53">
        <f>G149+H149+I149-J149+K149</f>
        <v>194796.59</v>
      </c>
      <c r="M149" s="53">
        <v>6552.01</v>
      </c>
      <c r="N149" s="53">
        <f>L149-M149</f>
        <v>188244.58</v>
      </c>
      <c r="O149" s="53">
        <v>0</v>
      </c>
      <c r="P149" s="53">
        <v>0</v>
      </c>
      <c r="Q149" s="53">
        <f>N149-O149-P149</f>
        <v>188244.58</v>
      </c>
    </row>
    <row r="150" spans="1:19" ht="12.75" customHeight="1">
      <c r="A150" s="47" t="s">
        <v>16</v>
      </c>
      <c r="B150" s="48">
        <f>B149</f>
        <v>0.58909999999999996</v>
      </c>
      <c r="C150" s="48">
        <f>C149</f>
        <v>0</v>
      </c>
      <c r="D150" s="43"/>
      <c r="E150" s="173"/>
      <c r="F150" s="65">
        <f>IF(E148&gt;E149,E148-E149,0)</f>
        <v>1511062.2622644713</v>
      </c>
      <c r="G150" s="53">
        <f>F150*(B150-C150)/100</f>
        <v>8901.6677869999985</v>
      </c>
      <c r="H150" s="53"/>
      <c r="I150" s="53">
        <f>F150*C150/100</f>
        <v>0</v>
      </c>
      <c r="J150" s="53"/>
      <c r="K150" s="53"/>
      <c r="L150" s="53">
        <f>G150+H150+I150-J150+K150</f>
        <v>8901.6677869999985</v>
      </c>
      <c r="M150" s="53"/>
      <c r="N150" s="53">
        <f>L150-M150</f>
        <v>8901.6677869999985</v>
      </c>
      <c r="O150" s="53"/>
      <c r="P150" s="53"/>
      <c r="Q150" s="53">
        <f>N150-O150-P150</f>
        <v>8901.6677869999985</v>
      </c>
    </row>
    <row r="151" spans="1:19" ht="12.75" customHeight="1">
      <c r="A151" s="47" t="s">
        <v>17</v>
      </c>
      <c r="B151" s="48">
        <f>B149</f>
        <v>0.58909999999999996</v>
      </c>
      <c r="C151" s="48">
        <f>C149</f>
        <v>0</v>
      </c>
      <c r="D151" s="43"/>
      <c r="E151" s="173"/>
      <c r="F151" s="66">
        <v>2444832</v>
      </c>
      <c r="G151" s="53"/>
      <c r="H151" s="53">
        <f>F151*(B151-C151)/100</f>
        <v>14402.505311999999</v>
      </c>
      <c r="I151" s="53">
        <f>F151*C151/100</f>
        <v>0</v>
      </c>
      <c r="J151" s="53">
        <v>0</v>
      </c>
      <c r="K151" s="53">
        <v>0</v>
      </c>
      <c r="L151" s="53">
        <f>G151+H151+I151-J151+K151</f>
        <v>14402.505311999999</v>
      </c>
      <c r="M151" s="53">
        <v>0</v>
      </c>
      <c r="N151" s="53">
        <f>L151-M151</f>
        <v>14402.505311999999</v>
      </c>
      <c r="O151" s="53">
        <v>0</v>
      </c>
      <c r="P151" s="53">
        <v>0</v>
      </c>
      <c r="Q151" s="53">
        <f>N151-O151-P151</f>
        <v>14402.505311999999</v>
      </c>
    </row>
    <row r="152" spans="1:19" ht="12.75" customHeight="1">
      <c r="A152" s="47" t="s">
        <v>18</v>
      </c>
      <c r="B152" s="48"/>
      <c r="C152" s="48"/>
      <c r="D152" s="43"/>
      <c r="E152" s="173"/>
      <c r="F152" s="4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1:19" ht="12.75" customHeight="1">
      <c r="A153" s="67" t="s">
        <v>19</v>
      </c>
      <c r="B153" s="48">
        <f>B149</f>
        <v>0.58909999999999996</v>
      </c>
      <c r="C153" s="48">
        <f>C149</f>
        <v>0</v>
      </c>
      <c r="D153" s="43"/>
      <c r="E153" s="173"/>
      <c r="F153" s="43">
        <v>1193171.55</v>
      </c>
      <c r="G153" s="53">
        <v>135.87</v>
      </c>
      <c r="H153" s="53">
        <v>6894.02</v>
      </c>
      <c r="I153" s="53">
        <v>0</v>
      </c>
      <c r="J153" s="53">
        <v>155.5</v>
      </c>
      <c r="K153" s="53">
        <v>0</v>
      </c>
      <c r="L153" s="53">
        <f>G153+H153+I153-J153+K153</f>
        <v>6874.39</v>
      </c>
      <c r="M153" s="53">
        <v>270.62</v>
      </c>
      <c r="N153" s="53">
        <f>L153-M153</f>
        <v>6603.77</v>
      </c>
      <c r="O153" s="53">
        <v>0</v>
      </c>
      <c r="P153" s="53">
        <v>0</v>
      </c>
      <c r="Q153" s="53">
        <f>N153-O153-P153</f>
        <v>6603.77</v>
      </c>
      <c r="S153" s="53"/>
    </row>
    <row r="154" spans="1:19" ht="12.75" customHeight="1">
      <c r="A154" s="67" t="s">
        <v>20</v>
      </c>
      <c r="B154" s="48">
        <f>B149</f>
        <v>0.58909999999999996</v>
      </c>
      <c r="C154" s="48">
        <f>C149</f>
        <v>0</v>
      </c>
      <c r="D154" s="43"/>
      <c r="E154" s="173"/>
      <c r="F154" s="82">
        <v>185110.3</v>
      </c>
      <c r="G154" s="53">
        <v>1090.49</v>
      </c>
      <c r="H154" s="53">
        <v>0</v>
      </c>
      <c r="I154" s="53">
        <v>0</v>
      </c>
      <c r="J154" s="53">
        <v>0</v>
      </c>
      <c r="K154" s="53">
        <v>0</v>
      </c>
      <c r="L154" s="53">
        <f>G154+H154+I154-J154+K154</f>
        <v>1090.49</v>
      </c>
      <c r="M154" s="53">
        <v>0</v>
      </c>
      <c r="N154" s="53">
        <f>L154-M154</f>
        <v>1090.49</v>
      </c>
      <c r="O154" s="53">
        <v>0</v>
      </c>
      <c r="P154" s="53">
        <v>0</v>
      </c>
      <c r="Q154" s="53">
        <f>N154-O154-P154</f>
        <v>1090.49</v>
      </c>
    </row>
    <row r="155" spans="1:19" ht="12.75" customHeight="1">
      <c r="A155" s="47"/>
      <c r="B155" s="48"/>
      <c r="C155" s="48"/>
      <c r="D155" s="43"/>
      <c r="E155" s="173"/>
      <c r="F155" s="4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1:19" s="50" customFormat="1" ht="12.75" customHeight="1" thickBot="1">
      <c r="A156" s="60" t="str">
        <f>"TOTAL "&amp;A147</f>
        <v>TOTAL JACKPOT TOWN</v>
      </c>
      <c r="B156" s="68">
        <f>B149</f>
        <v>0.58909999999999996</v>
      </c>
      <c r="C156" s="68">
        <f>C149</f>
        <v>0</v>
      </c>
      <c r="D156" s="69">
        <f t="shared" ref="D156:Q156" si="33">SUM(D149:D151,D153:D154)</f>
        <v>185</v>
      </c>
      <c r="E156" s="204"/>
      <c r="F156" s="69">
        <f>SUM(F149:F151,F153:F153)</f>
        <v>38200051.812264465</v>
      </c>
      <c r="G156" s="70">
        <f t="shared" si="33"/>
        <v>12313.557787</v>
      </c>
      <c r="H156" s="70">
        <f t="shared" si="33"/>
        <v>213814.53531199999</v>
      </c>
      <c r="I156" s="70">
        <f t="shared" si="33"/>
        <v>0</v>
      </c>
      <c r="J156" s="70">
        <f t="shared" si="33"/>
        <v>155.5</v>
      </c>
      <c r="K156" s="70">
        <f t="shared" si="33"/>
        <v>93.05</v>
      </c>
      <c r="L156" s="70">
        <f t="shared" si="33"/>
        <v>226065.64309899998</v>
      </c>
      <c r="M156" s="70">
        <f t="shared" si="33"/>
        <v>6822.63</v>
      </c>
      <c r="N156" s="70">
        <f t="shared" si="33"/>
        <v>219243.01309899995</v>
      </c>
      <c r="O156" s="70">
        <f t="shared" si="33"/>
        <v>0</v>
      </c>
      <c r="P156" s="70">
        <f t="shared" si="33"/>
        <v>0</v>
      </c>
      <c r="Q156" s="70">
        <f t="shared" si="33"/>
        <v>219243.01309899995</v>
      </c>
    </row>
    <row r="157" spans="1:19" ht="12.75" customHeight="1">
      <c r="A157" s="150" t="s">
        <v>355</v>
      </c>
      <c r="B157" s="48"/>
      <c r="C157" s="48"/>
      <c r="D157" s="43"/>
      <c r="E157" s="173"/>
      <c r="F157" s="64">
        <v>38358921</v>
      </c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1:19" ht="12.75" customHeight="1">
      <c r="A158" s="151" t="s">
        <v>30</v>
      </c>
      <c r="B158" s="51"/>
      <c r="C158" s="51"/>
      <c r="D158" s="52"/>
      <c r="E158" s="173"/>
      <c r="F158" s="152">
        <f>F156-F157</f>
        <v>-158869.1877355352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1:19" ht="12.75" customHeight="1">
      <c r="A159" s="54" t="s">
        <v>98</v>
      </c>
      <c r="B159" s="84"/>
      <c r="C159" s="84"/>
      <c r="D159" s="84"/>
      <c r="F159" s="84"/>
      <c r="G159" s="64"/>
      <c r="H159" s="53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1:19" ht="12.75" customHeight="1">
      <c r="A160" s="83"/>
      <c r="B160" s="84"/>
      <c r="C160" s="84"/>
      <c r="D160" s="84"/>
      <c r="E160" s="65">
        <v>28989</v>
      </c>
      <c r="F160" s="84"/>
      <c r="G160" s="59"/>
      <c r="H160" s="53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1:17" ht="12.75" customHeight="1">
      <c r="A161" s="49" t="s">
        <v>15</v>
      </c>
      <c r="B161" s="48">
        <v>0.61719999999999997</v>
      </c>
      <c r="C161" s="48">
        <v>0</v>
      </c>
      <c r="D161" s="43">
        <v>167</v>
      </c>
      <c r="E161" s="173">
        <f>G161/B161*100</f>
        <v>0</v>
      </c>
      <c r="F161" s="43">
        <v>1055861</v>
      </c>
      <c r="G161" s="53">
        <v>0</v>
      </c>
      <c r="H161" s="53">
        <v>6865.25</v>
      </c>
      <c r="I161" s="53">
        <f>F161*C161/100</f>
        <v>0</v>
      </c>
      <c r="J161" s="53">
        <v>348.43</v>
      </c>
      <c r="K161" s="53">
        <v>0</v>
      </c>
      <c r="L161" s="53">
        <f>G161+H161+I161-J161+K161</f>
        <v>6516.82</v>
      </c>
      <c r="M161" s="53">
        <v>611.89</v>
      </c>
      <c r="N161" s="53">
        <f>L161-M161</f>
        <v>5904.9299999999994</v>
      </c>
      <c r="O161" s="53">
        <v>0</v>
      </c>
      <c r="P161" s="53">
        <v>0</v>
      </c>
      <c r="Q161" s="53">
        <f>N161-O161-P161</f>
        <v>5904.9299999999994</v>
      </c>
    </row>
    <row r="162" spans="1:17" ht="12.75" customHeight="1">
      <c r="A162" s="47" t="s">
        <v>16</v>
      </c>
      <c r="B162" s="48">
        <f>B161</f>
        <v>0.61719999999999997</v>
      </c>
      <c r="C162" s="48">
        <f>C161</f>
        <v>0</v>
      </c>
      <c r="D162" s="43"/>
      <c r="E162" s="173"/>
      <c r="F162" s="65">
        <f>IF(E160&gt;E161,E160-E161,0)</f>
        <v>28989</v>
      </c>
      <c r="G162" s="53">
        <f>F162*(B162-C162)/100</f>
        <v>178.920108</v>
      </c>
      <c r="H162" s="53"/>
      <c r="I162" s="53">
        <f>F162*C162/100</f>
        <v>0</v>
      </c>
      <c r="J162" s="53"/>
      <c r="K162" s="53"/>
      <c r="L162" s="53">
        <f>G162+H162+I162-J162+K162</f>
        <v>178.920108</v>
      </c>
      <c r="M162" s="53"/>
      <c r="N162" s="53">
        <f>L162-M162</f>
        <v>178.920108</v>
      </c>
      <c r="O162" s="53"/>
      <c r="P162" s="53"/>
      <c r="Q162" s="53">
        <f>N162-O162-P162</f>
        <v>178.920108</v>
      </c>
    </row>
    <row r="163" spans="1:17" ht="12.75" customHeight="1">
      <c r="A163" s="47" t="s">
        <v>17</v>
      </c>
      <c r="B163" s="48">
        <f>B161</f>
        <v>0.61719999999999997</v>
      </c>
      <c r="C163" s="48">
        <f>C161</f>
        <v>0</v>
      </c>
      <c r="D163" s="43"/>
      <c r="E163" s="173"/>
      <c r="F163" s="66">
        <v>93406</v>
      </c>
      <c r="G163" s="53"/>
      <c r="H163" s="53">
        <f>F163*(B163-C163)/100</f>
        <v>576.50183200000004</v>
      </c>
      <c r="I163" s="53">
        <f>F163*C163/100</f>
        <v>0</v>
      </c>
      <c r="J163" s="53">
        <v>0</v>
      </c>
      <c r="K163" s="53">
        <v>0</v>
      </c>
      <c r="L163" s="53">
        <f>G163+H163+I163-J163+K163</f>
        <v>576.50183200000004</v>
      </c>
      <c r="M163" s="53">
        <v>0</v>
      </c>
      <c r="N163" s="53">
        <f>L163-M163</f>
        <v>576.50183200000004</v>
      </c>
      <c r="O163" s="53">
        <v>0</v>
      </c>
      <c r="P163" s="53">
        <v>0</v>
      </c>
      <c r="Q163" s="53">
        <f>N163-O163-P163</f>
        <v>576.50183200000004</v>
      </c>
    </row>
    <row r="164" spans="1:17" ht="12.75" customHeight="1">
      <c r="A164" s="47" t="s">
        <v>18</v>
      </c>
      <c r="B164" s="48"/>
      <c r="C164" s="48"/>
      <c r="D164" s="43"/>
      <c r="E164" s="173"/>
      <c r="F164" s="4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</row>
    <row r="165" spans="1:17" ht="12.75" customHeight="1">
      <c r="A165" s="67" t="s">
        <v>19</v>
      </c>
      <c r="B165" s="48">
        <f>B161</f>
        <v>0.61719999999999997</v>
      </c>
      <c r="C165" s="48">
        <f>C161</f>
        <v>0</v>
      </c>
      <c r="D165" s="43"/>
      <c r="E165" s="173"/>
      <c r="F165" s="43">
        <v>1181770.99</v>
      </c>
      <c r="G165" s="53">
        <v>15.33</v>
      </c>
      <c r="H165" s="53">
        <v>7278.55</v>
      </c>
      <c r="I165" s="53">
        <v>0</v>
      </c>
      <c r="J165" s="53">
        <v>0.52</v>
      </c>
      <c r="K165" s="53">
        <v>0</v>
      </c>
      <c r="L165" s="53">
        <f>G165+H165+I165-J165+K165</f>
        <v>7293.36</v>
      </c>
      <c r="M165" s="53">
        <v>0</v>
      </c>
      <c r="N165" s="53">
        <f>L165-M165</f>
        <v>7293.36</v>
      </c>
      <c r="O165" s="53">
        <v>0</v>
      </c>
      <c r="P165" s="53">
        <v>0</v>
      </c>
      <c r="Q165" s="53">
        <f>N165-O165-P165</f>
        <v>7293.36</v>
      </c>
    </row>
    <row r="166" spans="1:17" ht="12.75" customHeight="1">
      <c r="A166" s="67" t="s">
        <v>20</v>
      </c>
      <c r="B166" s="48">
        <f>B161</f>
        <v>0.61719999999999997</v>
      </c>
      <c r="C166" s="48">
        <f>C161</f>
        <v>0</v>
      </c>
      <c r="D166" s="43"/>
      <c r="E166" s="173"/>
      <c r="F166" s="43">
        <v>12059.25</v>
      </c>
      <c r="G166" s="53">
        <v>23.15</v>
      </c>
      <c r="H166" s="53">
        <v>51.23</v>
      </c>
      <c r="I166" s="53">
        <v>0</v>
      </c>
      <c r="J166" s="53">
        <v>0</v>
      </c>
      <c r="K166" s="53">
        <v>0</v>
      </c>
      <c r="L166" s="53">
        <f>G166+H166+I166-J166+K166</f>
        <v>74.38</v>
      </c>
      <c r="M166" s="53">
        <v>0.14000000000000001</v>
      </c>
      <c r="N166" s="53">
        <f>L166-M166</f>
        <v>74.239999999999995</v>
      </c>
      <c r="O166" s="53">
        <v>0</v>
      </c>
      <c r="P166" s="53">
        <v>0</v>
      </c>
      <c r="Q166" s="53">
        <f>N166-O166-P166</f>
        <v>74.239999999999995</v>
      </c>
    </row>
    <row r="167" spans="1:17" ht="12.75" customHeight="1">
      <c r="A167" s="47"/>
      <c r="B167" s="48"/>
      <c r="C167" s="48"/>
      <c r="D167" s="43"/>
      <c r="E167" s="173"/>
      <c r="F167" s="4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</row>
    <row r="168" spans="1:17" s="50" customFormat="1" ht="12.75" customHeight="1" thickBot="1">
      <c r="A168" s="60" t="str">
        <f>"TOTAL "&amp;A159</f>
        <v>TOTAL MONTELLO TOWN</v>
      </c>
      <c r="B168" s="68">
        <f>B161</f>
        <v>0.61719999999999997</v>
      </c>
      <c r="C168" s="68">
        <f>C161</f>
        <v>0</v>
      </c>
      <c r="D168" s="69">
        <f t="shared" ref="D168:Q168" si="34">SUM(D161:D163,D165:D166)</f>
        <v>167</v>
      </c>
      <c r="E168" s="204"/>
      <c r="F168" s="69">
        <f t="shared" si="34"/>
        <v>2372086.2400000002</v>
      </c>
      <c r="G168" s="70">
        <f t="shared" si="34"/>
        <v>217.40010800000002</v>
      </c>
      <c r="H168" s="70">
        <f t="shared" si="34"/>
        <v>14771.531832000001</v>
      </c>
      <c r="I168" s="70">
        <f t="shared" si="34"/>
        <v>0</v>
      </c>
      <c r="J168" s="70">
        <f t="shared" si="34"/>
        <v>348.95</v>
      </c>
      <c r="K168" s="70">
        <f t="shared" si="34"/>
        <v>0</v>
      </c>
      <c r="L168" s="70">
        <f t="shared" si="34"/>
        <v>14639.98194</v>
      </c>
      <c r="M168" s="70">
        <f t="shared" si="34"/>
        <v>612.03</v>
      </c>
      <c r="N168" s="70">
        <f t="shared" si="34"/>
        <v>14027.951939999999</v>
      </c>
      <c r="O168" s="70">
        <f t="shared" si="34"/>
        <v>0</v>
      </c>
      <c r="P168" s="70">
        <f t="shared" si="34"/>
        <v>0</v>
      </c>
      <c r="Q168" s="70">
        <f t="shared" si="34"/>
        <v>14027.951939999999</v>
      </c>
    </row>
    <row r="169" spans="1:17" ht="12.75" customHeight="1">
      <c r="A169" s="150" t="s">
        <v>355</v>
      </c>
      <c r="B169" s="48"/>
      <c r="C169" s="48"/>
      <c r="D169" s="43"/>
      <c r="E169" s="173"/>
      <c r="F169" s="64">
        <v>2372003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1:17" ht="12.75" customHeight="1">
      <c r="A170" s="151" t="s">
        <v>30</v>
      </c>
      <c r="B170" s="51"/>
      <c r="C170" s="51"/>
      <c r="D170" s="52"/>
      <c r="E170" s="173"/>
      <c r="F170" s="152">
        <f>F168-F169</f>
        <v>83.240000000223517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</row>
    <row r="171" spans="1:17" ht="12.75" customHeight="1">
      <c r="A171" s="54" t="s">
        <v>99</v>
      </c>
      <c r="G171" s="64"/>
      <c r="H171" s="53"/>
      <c r="I171" s="53"/>
      <c r="J171" s="53"/>
      <c r="K171" s="53"/>
      <c r="L171" s="53"/>
      <c r="M171" s="53"/>
      <c r="N171" s="53"/>
      <c r="O171" s="53"/>
      <c r="P171" s="53"/>
      <c r="Q171" s="53"/>
    </row>
    <row r="172" spans="1:17" ht="12.75" customHeight="1">
      <c r="A172" s="50"/>
      <c r="B172" s="50"/>
      <c r="C172" s="50"/>
      <c r="D172" s="50"/>
      <c r="E172" s="65">
        <v>5860</v>
      </c>
      <c r="F172" s="50"/>
      <c r="G172" s="59"/>
      <c r="H172" s="53"/>
      <c r="I172" s="53"/>
      <c r="J172" s="53"/>
      <c r="K172" s="53"/>
      <c r="L172" s="53"/>
      <c r="M172" s="53"/>
      <c r="N172" s="53"/>
      <c r="O172" s="53"/>
      <c r="P172" s="53"/>
      <c r="Q172" s="53"/>
    </row>
    <row r="173" spans="1:17" ht="12.75" customHeight="1">
      <c r="A173" s="49" t="s">
        <v>15</v>
      </c>
      <c r="B173" s="48">
        <v>0.43469999999999998</v>
      </c>
      <c r="C173" s="48">
        <v>0</v>
      </c>
      <c r="D173" s="43">
        <v>88</v>
      </c>
      <c r="E173" s="173">
        <f>G173/B173*100</f>
        <v>69.013112491373363</v>
      </c>
      <c r="F173" s="43">
        <v>1239261</v>
      </c>
      <c r="G173" s="53">
        <v>0.3</v>
      </c>
      <c r="H173" s="53">
        <v>5418.4</v>
      </c>
      <c r="I173" s="53">
        <f>F173*C173/100</f>
        <v>0</v>
      </c>
      <c r="J173" s="53">
        <v>31.64</v>
      </c>
      <c r="K173" s="53">
        <v>0</v>
      </c>
      <c r="L173" s="53">
        <f>G173+H173+I173-J173+K173</f>
        <v>5387.0599999999995</v>
      </c>
      <c r="M173" s="53">
        <v>279.07</v>
      </c>
      <c r="N173" s="53">
        <f>L173-M173</f>
        <v>5107.99</v>
      </c>
      <c r="O173" s="53">
        <v>0</v>
      </c>
      <c r="P173" s="53">
        <v>0</v>
      </c>
      <c r="Q173" s="53">
        <f>N173-O173-P173</f>
        <v>5107.99</v>
      </c>
    </row>
    <row r="174" spans="1:17" ht="12.75" customHeight="1">
      <c r="A174" s="47" t="s">
        <v>16</v>
      </c>
      <c r="B174" s="48">
        <f>B173</f>
        <v>0.43469999999999998</v>
      </c>
      <c r="C174" s="48">
        <f>C173</f>
        <v>0</v>
      </c>
      <c r="D174" s="43"/>
      <c r="E174" s="173"/>
      <c r="F174" s="65">
        <f>IF(E172&gt;E173,E172-E173,0)</f>
        <v>5790.9868875086268</v>
      </c>
      <c r="G174" s="53">
        <f>F174*(B174-C174)/100</f>
        <v>25.17342</v>
      </c>
      <c r="H174" s="53"/>
      <c r="I174" s="53">
        <f>F174*C174/100</f>
        <v>0</v>
      </c>
      <c r="J174" s="53"/>
      <c r="K174" s="53"/>
      <c r="L174" s="53">
        <f>G174+H174+I174-J174+K174</f>
        <v>25.17342</v>
      </c>
      <c r="M174" s="53"/>
      <c r="N174" s="53">
        <f>L174-M174</f>
        <v>25.17342</v>
      </c>
      <c r="O174" s="53"/>
      <c r="P174" s="53"/>
      <c r="Q174" s="53">
        <f>N174-O174-P174</f>
        <v>25.17342</v>
      </c>
    </row>
    <row r="175" spans="1:17" ht="12.75" customHeight="1">
      <c r="A175" s="47" t="s">
        <v>17</v>
      </c>
      <c r="B175" s="48">
        <f>B173</f>
        <v>0.43469999999999998</v>
      </c>
      <c r="C175" s="48">
        <f>C173</f>
        <v>0</v>
      </c>
      <c r="D175" s="43"/>
      <c r="E175" s="173"/>
      <c r="F175" s="66">
        <v>71328</v>
      </c>
      <c r="G175" s="53"/>
      <c r="H175" s="53">
        <f>F175*(B175-C175)/100</f>
        <v>310.062816</v>
      </c>
      <c r="I175" s="53">
        <f>F175*C175/100</f>
        <v>0</v>
      </c>
      <c r="J175" s="53">
        <v>0</v>
      </c>
      <c r="K175" s="53">
        <v>0</v>
      </c>
      <c r="L175" s="53">
        <f>G175+H175+I175-J175+K175</f>
        <v>310.062816</v>
      </c>
      <c r="M175" s="53">
        <v>0</v>
      </c>
      <c r="N175" s="53">
        <f>L175-M175</f>
        <v>310.062816</v>
      </c>
      <c r="O175" s="53">
        <v>0</v>
      </c>
      <c r="P175" s="53">
        <v>0</v>
      </c>
      <c r="Q175" s="53">
        <f>N175-O175-P175</f>
        <v>310.062816</v>
      </c>
    </row>
    <row r="176" spans="1:17" ht="12.75" customHeight="1">
      <c r="A176" s="47" t="s">
        <v>18</v>
      </c>
      <c r="B176" s="48"/>
      <c r="C176" s="48"/>
      <c r="D176" s="43"/>
      <c r="E176" s="173"/>
      <c r="F176" s="4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</row>
    <row r="177" spans="1:17" ht="12.75" customHeight="1">
      <c r="A177" s="67" t="s">
        <v>19</v>
      </c>
      <c r="B177" s="48">
        <f>B173</f>
        <v>0.43469999999999998</v>
      </c>
      <c r="C177" s="48">
        <f>C173</f>
        <v>0</v>
      </c>
      <c r="D177" s="43"/>
      <c r="E177" s="173"/>
      <c r="F177" s="43">
        <v>1269457.3600000001</v>
      </c>
      <c r="G177" s="53">
        <v>201.96</v>
      </c>
      <c r="H177" s="53">
        <v>5317.38</v>
      </c>
      <c r="I177" s="53">
        <v>0</v>
      </c>
      <c r="J177" s="53">
        <v>230.51</v>
      </c>
      <c r="K177" s="53">
        <v>0</v>
      </c>
      <c r="L177" s="53">
        <f>G177+H177+I177-J177+K177</f>
        <v>5288.83</v>
      </c>
      <c r="M177" s="53">
        <v>401.16</v>
      </c>
      <c r="N177" s="53">
        <f>L177-M177</f>
        <v>4887.67</v>
      </c>
      <c r="O177" s="53">
        <v>0</v>
      </c>
      <c r="P177" s="53">
        <v>0</v>
      </c>
      <c r="Q177" s="53">
        <f>N177-O177-P177</f>
        <v>4887.67</v>
      </c>
    </row>
    <row r="178" spans="1:17" ht="12.75" customHeight="1">
      <c r="A178" s="67" t="s">
        <v>20</v>
      </c>
      <c r="B178" s="48">
        <f>B173</f>
        <v>0.43469999999999998</v>
      </c>
      <c r="C178" s="48">
        <f>C173</f>
        <v>0</v>
      </c>
      <c r="D178" s="43"/>
      <c r="E178" s="173"/>
      <c r="F178" s="43">
        <v>311371.84999999998</v>
      </c>
      <c r="G178" s="53">
        <v>1353.53</v>
      </c>
      <c r="H178" s="53">
        <v>0</v>
      </c>
      <c r="I178" s="53">
        <v>0</v>
      </c>
      <c r="J178" s="53">
        <v>0</v>
      </c>
      <c r="K178" s="53">
        <v>0</v>
      </c>
      <c r="L178" s="53">
        <f>G178+H178+I178-J178+K178</f>
        <v>1353.53</v>
      </c>
      <c r="M178" s="53">
        <v>0</v>
      </c>
      <c r="N178" s="53">
        <f>L178-M178</f>
        <v>1353.53</v>
      </c>
      <c r="O178" s="53">
        <v>0</v>
      </c>
      <c r="P178" s="53">
        <v>0</v>
      </c>
      <c r="Q178" s="53">
        <f>N178-O178-P178</f>
        <v>1353.53</v>
      </c>
    </row>
    <row r="179" spans="1:17" ht="12.75" customHeight="1">
      <c r="A179" s="47"/>
      <c r="B179" s="48"/>
      <c r="C179" s="48"/>
      <c r="D179" s="43"/>
      <c r="E179" s="173"/>
      <c r="F179" s="4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1:17" s="50" customFormat="1" ht="12.75" customHeight="1" thickBot="1">
      <c r="A180" s="60" t="str">
        <f>"TOTAL "&amp;A171</f>
        <v>TOTAL MOUNTAIN CITY TOWN</v>
      </c>
      <c r="B180" s="68">
        <f>B173</f>
        <v>0.43469999999999998</v>
      </c>
      <c r="C180" s="68">
        <f>C173</f>
        <v>0</v>
      </c>
      <c r="D180" s="69">
        <f t="shared" ref="D180:Q180" si="35">SUM(D173:D175,D177:D178)</f>
        <v>88</v>
      </c>
      <c r="E180" s="204"/>
      <c r="F180" s="69">
        <f t="shared" si="35"/>
        <v>2897209.1968875085</v>
      </c>
      <c r="G180" s="70">
        <f t="shared" si="35"/>
        <v>1580.96342</v>
      </c>
      <c r="H180" s="70">
        <f t="shared" si="35"/>
        <v>11045.842816</v>
      </c>
      <c r="I180" s="70">
        <f t="shared" si="35"/>
        <v>0</v>
      </c>
      <c r="J180" s="70">
        <f t="shared" si="35"/>
        <v>262.14999999999998</v>
      </c>
      <c r="K180" s="70">
        <f t="shared" si="35"/>
        <v>0</v>
      </c>
      <c r="L180" s="70">
        <f t="shared" si="35"/>
        <v>12364.656236000001</v>
      </c>
      <c r="M180" s="70">
        <f t="shared" si="35"/>
        <v>680.23</v>
      </c>
      <c r="N180" s="70">
        <f t="shared" si="35"/>
        <v>11684.426236000001</v>
      </c>
      <c r="O180" s="70">
        <f t="shared" si="35"/>
        <v>0</v>
      </c>
      <c r="P180" s="70">
        <f t="shared" si="35"/>
        <v>0</v>
      </c>
      <c r="Q180" s="70">
        <f t="shared" si="35"/>
        <v>11684.426236000001</v>
      </c>
    </row>
    <row r="181" spans="1:17" ht="12.75" customHeight="1">
      <c r="A181" s="150" t="s">
        <v>355</v>
      </c>
      <c r="B181" s="48"/>
      <c r="C181" s="48"/>
      <c r="D181" s="43"/>
      <c r="E181" s="173"/>
      <c r="F181" s="64">
        <v>2844413</v>
      </c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</row>
    <row r="182" spans="1:17" ht="12.75" customHeight="1">
      <c r="A182" s="151" t="s">
        <v>30</v>
      </c>
      <c r="B182" s="51"/>
      <c r="C182" s="51"/>
      <c r="D182" s="52"/>
      <c r="E182" s="173"/>
      <c r="F182" s="152">
        <f>F180-F181</f>
        <v>52796.1968875085</v>
      </c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</row>
    <row r="183" spans="1:17" ht="12.75" customHeight="1">
      <c r="A183" s="54" t="s">
        <v>83</v>
      </c>
      <c r="E183" s="211"/>
      <c r="G183" s="64"/>
      <c r="H183" s="53"/>
      <c r="I183" s="53"/>
      <c r="J183" s="53"/>
      <c r="K183" s="53"/>
      <c r="L183" s="53"/>
      <c r="M183" s="53"/>
      <c r="N183" s="53"/>
      <c r="O183" s="53"/>
      <c r="P183" s="53"/>
      <c r="Q183" s="53"/>
    </row>
    <row r="184" spans="1:17" ht="12.75" customHeight="1">
      <c r="A184" s="83"/>
      <c r="B184" s="84"/>
      <c r="C184" s="84"/>
      <c r="D184" s="84"/>
      <c r="E184" s="65">
        <v>115821272</v>
      </c>
      <c r="F184" s="84"/>
      <c r="G184" s="59"/>
      <c r="H184" s="53"/>
      <c r="I184" s="53"/>
      <c r="J184" s="53"/>
      <c r="K184" s="53"/>
      <c r="L184" s="53"/>
      <c r="M184" s="53"/>
      <c r="N184" s="53"/>
      <c r="O184" s="53"/>
      <c r="P184" s="53"/>
      <c r="Q184" s="53"/>
    </row>
    <row r="185" spans="1:17" ht="12.75" customHeight="1">
      <c r="A185" s="49" t="s">
        <v>15</v>
      </c>
      <c r="B185" s="48">
        <v>3.9199999999999999E-2</v>
      </c>
      <c r="C185" s="48">
        <v>0</v>
      </c>
      <c r="D185" s="43">
        <v>26865</v>
      </c>
      <c r="E185" s="173">
        <f>G185/B185*100</f>
        <v>9547372.4489795938</v>
      </c>
      <c r="F185" s="43">
        <v>1606568808</v>
      </c>
      <c r="G185" s="53">
        <v>3742.57</v>
      </c>
      <c r="H185" s="53">
        <v>647434.14</v>
      </c>
      <c r="I185" s="53">
        <v>0</v>
      </c>
      <c r="J185" s="53">
        <v>21655.23</v>
      </c>
      <c r="K185" s="53">
        <v>2.41</v>
      </c>
      <c r="L185" s="53">
        <f>G185+H185+I185-J185+K185</f>
        <v>629523.89</v>
      </c>
      <c r="M185" s="53">
        <v>25421.68</v>
      </c>
      <c r="N185" s="53">
        <f>L185-M185</f>
        <v>604102.21</v>
      </c>
      <c r="O185" s="53">
        <v>5426.72</v>
      </c>
      <c r="P185" s="53">
        <v>2.27</v>
      </c>
      <c r="Q185" s="53">
        <f>N185-O185-P185</f>
        <v>598673.22</v>
      </c>
    </row>
    <row r="186" spans="1:17" ht="12.75" customHeight="1">
      <c r="A186" s="47" t="s">
        <v>16</v>
      </c>
      <c r="B186" s="48">
        <f>B185</f>
        <v>3.9199999999999999E-2</v>
      </c>
      <c r="C186" s="48">
        <f>C185</f>
        <v>0</v>
      </c>
      <c r="D186" s="43"/>
      <c r="E186" s="173"/>
      <c r="F186" s="65">
        <f>IF(E184&gt;E185,E184-E185,0)</f>
        <v>106273899.55102041</v>
      </c>
      <c r="G186" s="53">
        <f>F186*(B186-C186)/100</f>
        <v>41659.368624000002</v>
      </c>
      <c r="H186" s="53"/>
      <c r="I186" s="53">
        <f>F186*C186/100</f>
        <v>0</v>
      </c>
      <c r="J186" s="53">
        <v>0</v>
      </c>
      <c r="K186" s="53">
        <v>0</v>
      </c>
      <c r="L186" s="53">
        <f>G186+H186+I186-J186+K186</f>
        <v>41659.368624000002</v>
      </c>
      <c r="M186" s="53"/>
      <c r="N186" s="53">
        <f>L186-M186</f>
        <v>41659.368624000002</v>
      </c>
      <c r="O186" s="53"/>
      <c r="P186" s="53"/>
      <c r="Q186" s="53">
        <f>N186-O186-P186</f>
        <v>41659.368624000002</v>
      </c>
    </row>
    <row r="187" spans="1:17" ht="12.75" customHeight="1">
      <c r="A187" s="47" t="s">
        <v>17</v>
      </c>
      <c r="B187" s="48">
        <f>B185</f>
        <v>3.9199999999999999E-2</v>
      </c>
      <c r="C187" s="48">
        <f>C185</f>
        <v>0</v>
      </c>
      <c r="D187" s="43"/>
      <c r="E187" s="173"/>
      <c r="F187" s="66">
        <v>151761782</v>
      </c>
      <c r="G187" s="53"/>
      <c r="H187" s="53">
        <f>F187*(B187-C187)/100</f>
        <v>59490.618543999997</v>
      </c>
      <c r="I187" s="53">
        <f>F187*C187/100</f>
        <v>0</v>
      </c>
      <c r="J187" s="53">
        <v>0</v>
      </c>
      <c r="K187" s="53">
        <v>0</v>
      </c>
      <c r="L187" s="53">
        <f>G187+H187+I187-J187+K187</f>
        <v>59490.618543999997</v>
      </c>
      <c r="M187" s="53">
        <v>0</v>
      </c>
      <c r="N187" s="53">
        <f>L187-M187</f>
        <v>59490.618543999997</v>
      </c>
      <c r="O187" s="53">
        <v>0</v>
      </c>
      <c r="P187" s="53">
        <v>0</v>
      </c>
      <c r="Q187" s="53">
        <f>N187-O187-P187</f>
        <v>59490.618543999997</v>
      </c>
    </row>
    <row r="188" spans="1:17" ht="12.75" customHeight="1">
      <c r="A188" s="47" t="s">
        <v>18</v>
      </c>
      <c r="B188" s="48"/>
      <c r="C188" s="48"/>
      <c r="D188" s="43"/>
      <c r="E188" s="173"/>
      <c r="F188" s="4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12.75" customHeight="1">
      <c r="A189" s="67" t="s">
        <v>19</v>
      </c>
      <c r="B189" s="48">
        <f>B185</f>
        <v>3.9199999999999999E-2</v>
      </c>
      <c r="C189" s="48">
        <f>C185</f>
        <v>0</v>
      </c>
      <c r="D189" s="43"/>
      <c r="E189" s="173"/>
      <c r="F189" s="43">
        <v>44303196.009999998</v>
      </c>
      <c r="G189" s="53">
        <v>552.52</v>
      </c>
      <c r="H189" s="53">
        <v>16814.46</v>
      </c>
      <c r="I189" s="53">
        <v>0</v>
      </c>
      <c r="J189" s="53">
        <v>423.47</v>
      </c>
      <c r="K189" s="53">
        <v>0</v>
      </c>
      <c r="L189" s="53">
        <f>G189+H189+I189-J189+K189</f>
        <v>16943.509999999998</v>
      </c>
      <c r="M189" s="53">
        <v>538.08000000000004</v>
      </c>
      <c r="N189" s="53">
        <f>L189-M189</f>
        <v>16405.429999999997</v>
      </c>
      <c r="O189" s="53">
        <v>0</v>
      </c>
      <c r="P189" s="53">
        <v>0</v>
      </c>
      <c r="Q189" s="53">
        <f>N189-O189-P189</f>
        <v>16405.429999999997</v>
      </c>
    </row>
    <row r="190" spans="1:17" ht="12.75" customHeight="1">
      <c r="A190" s="67" t="s">
        <v>20</v>
      </c>
      <c r="B190" s="48">
        <f>B185</f>
        <v>3.9199999999999999E-2</v>
      </c>
      <c r="C190" s="48">
        <f>C185</f>
        <v>0</v>
      </c>
      <c r="D190" s="43"/>
      <c r="E190" s="173"/>
      <c r="F190" s="43">
        <v>4496654.33</v>
      </c>
      <c r="G190" s="53">
        <v>1714.19</v>
      </c>
      <c r="H190" s="53">
        <v>48.35</v>
      </c>
      <c r="I190" s="53">
        <v>0</v>
      </c>
      <c r="J190" s="53">
        <v>0</v>
      </c>
      <c r="K190" s="53">
        <v>0</v>
      </c>
      <c r="L190" s="53">
        <f>G190+H190+I190-J190+K190</f>
        <v>1762.54</v>
      </c>
      <c r="M190" s="53">
        <v>7.0000000000000007E-2</v>
      </c>
      <c r="N190" s="53">
        <f>L190-M190</f>
        <v>1762.47</v>
      </c>
      <c r="O190" s="53">
        <v>0</v>
      </c>
      <c r="P190" s="53">
        <v>0</v>
      </c>
      <c r="Q190" s="53">
        <f>N190-O190-P190</f>
        <v>1762.47</v>
      </c>
    </row>
    <row r="191" spans="1:17" ht="12.75" customHeight="1">
      <c r="A191" s="47"/>
      <c r="B191" s="48"/>
      <c r="C191" s="48"/>
      <c r="D191" s="43"/>
      <c r="E191" s="173"/>
      <c r="F191" s="4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</row>
    <row r="192" spans="1:17" s="50" customFormat="1" ht="12.75" customHeight="1" thickBot="1">
      <c r="A192" s="60" t="str">
        <f>"TOTAL "&amp;A183</f>
        <v>TOTAL ELKO CONVENTION &amp; VISITORS AUTHORITY</v>
      </c>
      <c r="B192" s="68">
        <f>B185</f>
        <v>3.9199999999999999E-2</v>
      </c>
      <c r="C192" s="68">
        <f>C185</f>
        <v>0</v>
      </c>
      <c r="D192" s="69">
        <f t="shared" ref="D192:Q192" si="36">SUM(D185:D187,D189:D190)</f>
        <v>26865</v>
      </c>
      <c r="E192" s="204"/>
      <c r="F192" s="69">
        <f t="shared" si="36"/>
        <v>1913404339.8910203</v>
      </c>
      <c r="G192" s="70">
        <f t="shared" si="36"/>
        <v>47668.648624000001</v>
      </c>
      <c r="H192" s="70">
        <f t="shared" si="36"/>
        <v>723787.56854399992</v>
      </c>
      <c r="I192" s="70">
        <f t="shared" si="36"/>
        <v>0</v>
      </c>
      <c r="J192" s="70">
        <f>SUM(J185:J187,J189:J190)</f>
        <v>22078.7</v>
      </c>
      <c r="K192" s="70">
        <f>SUM(K185:K187,K189:K190)</f>
        <v>2.41</v>
      </c>
      <c r="L192" s="70">
        <f t="shared" si="36"/>
        <v>749379.92716800002</v>
      </c>
      <c r="M192" s="70">
        <f t="shared" si="36"/>
        <v>25959.83</v>
      </c>
      <c r="N192" s="70">
        <f t="shared" si="36"/>
        <v>723420.09716799995</v>
      </c>
      <c r="O192" s="70">
        <f t="shared" si="36"/>
        <v>5426.72</v>
      </c>
      <c r="P192" s="70">
        <f t="shared" si="36"/>
        <v>2.27</v>
      </c>
      <c r="Q192" s="70">
        <f t="shared" si="36"/>
        <v>717991.10716799996</v>
      </c>
    </row>
    <row r="193" spans="1:17" ht="12.75" customHeight="1">
      <c r="A193" s="150" t="s">
        <v>355</v>
      </c>
      <c r="B193" s="48"/>
      <c r="C193" s="48"/>
      <c r="D193" s="43"/>
      <c r="E193" s="173"/>
      <c r="F193" s="64">
        <v>1912324628</v>
      </c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</row>
    <row r="194" spans="1:17" ht="12.75" customHeight="1">
      <c r="A194" s="151" t="s">
        <v>30</v>
      </c>
      <c r="B194" s="51"/>
      <c r="C194" s="51"/>
      <c r="D194" s="52"/>
      <c r="E194" s="173"/>
      <c r="F194" s="152">
        <f>F192-F193</f>
        <v>1079711.891020298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</row>
    <row r="195" spans="1:17" ht="12.75" customHeight="1">
      <c r="A195" s="54" t="s">
        <v>84</v>
      </c>
      <c r="B195" s="50"/>
      <c r="C195" s="50"/>
      <c r="D195" s="50"/>
      <c r="F195" s="50"/>
      <c r="G195" s="64"/>
      <c r="H195" s="53"/>
      <c r="I195" s="53"/>
      <c r="J195" s="53"/>
      <c r="K195" s="53"/>
      <c r="L195" s="53"/>
      <c r="M195" s="53"/>
      <c r="N195" s="53"/>
      <c r="O195" s="53"/>
      <c r="P195" s="53"/>
      <c r="Q195" s="53"/>
    </row>
    <row r="196" spans="1:17" ht="12.75" customHeight="1">
      <c r="A196" s="50"/>
      <c r="E196" s="65">
        <v>78520615</v>
      </c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</row>
    <row r="197" spans="1:17" ht="12.75" customHeight="1">
      <c r="A197" s="49" t="s">
        <v>15</v>
      </c>
      <c r="B197" s="48">
        <v>6.4500000000000002E-2</v>
      </c>
      <c r="C197" s="48">
        <v>0</v>
      </c>
      <c r="D197" s="43">
        <v>26650</v>
      </c>
      <c r="E197" s="173">
        <f>G197/B197*100</f>
        <v>10688387.596899224</v>
      </c>
      <c r="F197" s="43">
        <v>1543535866</v>
      </c>
      <c r="G197" s="53">
        <v>6894.01</v>
      </c>
      <c r="H197" s="53">
        <v>993816.84</v>
      </c>
      <c r="I197" s="53">
        <v>0</v>
      </c>
      <c r="J197" s="53">
        <v>5599.92</v>
      </c>
      <c r="K197" s="53">
        <v>3.95</v>
      </c>
      <c r="L197" s="53">
        <f>G197+H197+I197-J197+K197</f>
        <v>995114.87999999989</v>
      </c>
      <c r="M197" s="53">
        <v>45568.53</v>
      </c>
      <c r="N197" s="53">
        <f>L197-M197</f>
        <v>949546.34999999986</v>
      </c>
      <c r="O197" s="53">
        <v>8869.2900000000009</v>
      </c>
      <c r="P197" s="53">
        <v>0</v>
      </c>
      <c r="Q197" s="53">
        <f>N197-O197-P197</f>
        <v>940677.05999999982</v>
      </c>
    </row>
    <row r="198" spans="1:17" ht="12.75" customHeight="1">
      <c r="A198" s="47" t="s">
        <v>16</v>
      </c>
      <c r="B198" s="48">
        <f>B197</f>
        <v>6.4500000000000002E-2</v>
      </c>
      <c r="C198" s="48">
        <f>C197</f>
        <v>0</v>
      </c>
      <c r="D198" s="43"/>
      <c r="E198" s="173"/>
      <c r="F198" s="65">
        <f>IF(E196&gt;E197,E196-E197,0)</f>
        <v>67832227.403100774</v>
      </c>
      <c r="G198" s="53">
        <f>F198*(B198-C198)/100</f>
        <v>43751.786675000003</v>
      </c>
      <c r="H198" s="53"/>
      <c r="I198" s="53">
        <f>F198*C198/100</f>
        <v>0</v>
      </c>
      <c r="J198" s="53"/>
      <c r="K198" s="53"/>
      <c r="L198" s="53">
        <f>G198+H198+I198-J198+K198</f>
        <v>43751.786675000003</v>
      </c>
      <c r="M198" s="53"/>
      <c r="N198" s="53">
        <f>L198-M198</f>
        <v>43751.786675000003</v>
      </c>
      <c r="O198" s="53"/>
      <c r="P198" s="53"/>
      <c r="Q198" s="53">
        <f>N198-O198-P198</f>
        <v>43751.786675000003</v>
      </c>
    </row>
    <row r="199" spans="1:17" ht="12.75" customHeight="1">
      <c r="A199" s="47" t="s">
        <v>17</v>
      </c>
      <c r="B199" s="48">
        <f>B197</f>
        <v>6.4500000000000002E-2</v>
      </c>
      <c r="C199" s="48">
        <f>C197</f>
        <v>0</v>
      </c>
      <c r="D199" s="43"/>
      <c r="E199" s="173"/>
      <c r="F199" s="66">
        <v>92131850</v>
      </c>
      <c r="G199" s="53"/>
      <c r="H199" s="53">
        <f>F199*(B199-C199)/100</f>
        <v>59425.043250000002</v>
      </c>
      <c r="I199" s="53">
        <f>F199*C199/100</f>
        <v>0</v>
      </c>
      <c r="J199" s="53">
        <v>0</v>
      </c>
      <c r="K199" s="53">
        <v>0</v>
      </c>
      <c r="L199" s="53">
        <f>G199+H199+I199-J199+K199</f>
        <v>59425.043250000002</v>
      </c>
      <c r="M199" s="53">
        <v>0</v>
      </c>
      <c r="N199" s="53">
        <f>L199-M199</f>
        <v>59425.043250000002</v>
      </c>
      <c r="O199" s="53">
        <v>0</v>
      </c>
      <c r="P199" s="53">
        <v>0</v>
      </c>
      <c r="Q199" s="53">
        <f>N199-O199-P199</f>
        <v>59425.043250000002</v>
      </c>
    </row>
    <row r="200" spans="1:17" ht="12.75" customHeight="1">
      <c r="A200" s="47" t="s">
        <v>18</v>
      </c>
      <c r="B200" s="48"/>
      <c r="C200" s="48"/>
      <c r="D200" s="43"/>
      <c r="E200" s="173"/>
      <c r="F200" s="4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</row>
    <row r="201" spans="1:17" ht="12.75" customHeight="1">
      <c r="A201" s="67" t="s">
        <v>19</v>
      </c>
      <c r="B201" s="48">
        <f>B197</f>
        <v>6.4500000000000002E-2</v>
      </c>
      <c r="C201" s="48">
        <f>C197</f>
        <v>0</v>
      </c>
      <c r="D201" s="43"/>
      <c r="E201" s="173"/>
      <c r="F201" s="43">
        <v>157215435.47999999</v>
      </c>
      <c r="G201" s="53">
        <v>1469.27</v>
      </c>
      <c r="H201" s="53">
        <v>99935.64</v>
      </c>
      <c r="I201" s="53">
        <v>0</v>
      </c>
      <c r="J201" s="53">
        <v>1502.09</v>
      </c>
      <c r="K201" s="53">
        <v>0</v>
      </c>
      <c r="L201" s="53">
        <f>G201+H201+I201-J201+K201</f>
        <v>99902.82</v>
      </c>
      <c r="M201" s="53">
        <v>46488.959999999999</v>
      </c>
      <c r="N201" s="53">
        <f>L201-M201</f>
        <v>53413.860000000008</v>
      </c>
      <c r="O201" s="53">
        <v>0</v>
      </c>
      <c r="P201" s="53">
        <v>0</v>
      </c>
      <c r="Q201" s="53">
        <f>N201-O201-P201</f>
        <v>53413.860000000008</v>
      </c>
    </row>
    <row r="202" spans="1:17" ht="12.75" customHeight="1">
      <c r="A202" s="67" t="s">
        <v>20</v>
      </c>
      <c r="B202" s="48">
        <f>B197</f>
        <v>6.4500000000000002E-2</v>
      </c>
      <c r="C202" s="48">
        <f>C197</f>
        <v>0</v>
      </c>
      <c r="D202" s="43"/>
      <c r="E202" s="173"/>
      <c r="F202" s="43">
        <v>12402588.6</v>
      </c>
      <c r="G202" s="53">
        <v>7537.27</v>
      </c>
      <c r="H202" s="53">
        <v>462.2</v>
      </c>
      <c r="I202" s="53">
        <v>0</v>
      </c>
      <c r="J202" s="53">
        <v>0</v>
      </c>
      <c r="K202" s="53">
        <v>0</v>
      </c>
      <c r="L202" s="53">
        <f>G202+H202+I202-J202+K202</f>
        <v>7999.47</v>
      </c>
      <c r="M202" s="53">
        <v>0.74</v>
      </c>
      <c r="N202" s="53">
        <f>L202-M202</f>
        <v>7998.7300000000005</v>
      </c>
      <c r="O202" s="53">
        <v>0</v>
      </c>
      <c r="P202" s="53">
        <v>0</v>
      </c>
      <c r="Q202" s="53">
        <f>N202-O202-P202</f>
        <v>7998.7300000000005</v>
      </c>
    </row>
    <row r="203" spans="1:17" ht="12.75" customHeight="1">
      <c r="A203" s="47"/>
      <c r="B203" s="48"/>
      <c r="C203" s="48"/>
      <c r="D203" s="43"/>
      <c r="E203" s="173"/>
      <c r="F203" s="4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</row>
    <row r="204" spans="1:17" s="50" customFormat="1" ht="12.75" customHeight="1" thickBot="1">
      <c r="A204" s="60" t="str">
        <f>"TOTAL "&amp;A195</f>
        <v>TOTAL ELKO TELEVISION DISTRICT</v>
      </c>
      <c r="B204" s="68">
        <f>B197</f>
        <v>6.4500000000000002E-2</v>
      </c>
      <c r="C204" s="68">
        <f>C197</f>
        <v>0</v>
      </c>
      <c r="D204" s="69">
        <f t="shared" ref="D204:Q204" si="37">SUM(D197:D199,D201:D202)</f>
        <v>26650</v>
      </c>
      <c r="E204" s="204"/>
      <c r="F204" s="69">
        <f t="shared" si="37"/>
        <v>1873117967.4831007</v>
      </c>
      <c r="G204" s="70">
        <f t="shared" si="37"/>
        <v>59652.336674999999</v>
      </c>
      <c r="H204" s="70">
        <f t="shared" si="37"/>
        <v>1153639.7232499998</v>
      </c>
      <c r="I204" s="70">
        <f t="shared" si="37"/>
        <v>0</v>
      </c>
      <c r="J204" s="70">
        <f t="shared" si="37"/>
        <v>7102.01</v>
      </c>
      <c r="K204" s="70">
        <f t="shared" si="37"/>
        <v>3.95</v>
      </c>
      <c r="L204" s="70">
        <f t="shared" si="37"/>
        <v>1206193.9999249999</v>
      </c>
      <c r="M204" s="70">
        <f t="shared" si="37"/>
        <v>92058.23</v>
      </c>
      <c r="N204" s="70">
        <f t="shared" si="37"/>
        <v>1114135.7699249999</v>
      </c>
      <c r="O204" s="70">
        <f t="shared" si="37"/>
        <v>8869.2900000000009</v>
      </c>
      <c r="P204" s="70">
        <f t="shared" si="37"/>
        <v>0</v>
      </c>
      <c r="Q204" s="70">
        <f t="shared" si="37"/>
        <v>1105266.4799249999</v>
      </c>
    </row>
    <row r="205" spans="1:17" ht="12.75" customHeight="1">
      <c r="A205" s="150" t="s">
        <v>355</v>
      </c>
      <c r="B205" s="48"/>
      <c r="C205" s="48"/>
      <c r="D205" s="43"/>
      <c r="E205" s="173"/>
      <c r="F205" s="64">
        <v>1870790690</v>
      </c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</row>
    <row r="206" spans="1:17" ht="12.75" customHeight="1">
      <c r="A206" s="151" t="s">
        <v>30</v>
      </c>
      <c r="B206" s="51"/>
      <c r="C206" s="51"/>
      <c r="D206" s="52"/>
      <c r="E206" s="173"/>
      <c r="F206" s="152">
        <f>F204-F205</f>
        <v>2327277.4831006527</v>
      </c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</row>
    <row r="207" spans="1:17" s="14" customFormat="1" ht="12.75" customHeight="1">
      <c r="A207" s="15" t="s">
        <v>502</v>
      </c>
      <c r="B207" s="50"/>
      <c r="C207" s="50"/>
      <c r="D207" s="50"/>
      <c r="E207" s="327"/>
      <c r="F207" s="50"/>
      <c r="G207" s="24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s="14" customFormat="1" ht="12.75" customHeight="1">
      <c r="A208" s="50"/>
      <c r="B208" s="328"/>
      <c r="C208" s="328"/>
      <c r="D208" s="328"/>
      <c r="E208" s="329">
        <v>82108168</v>
      </c>
      <c r="F208" s="32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1:20" s="14" customFormat="1" ht="12.75" customHeight="1">
      <c r="A209" s="14" t="s">
        <v>15</v>
      </c>
      <c r="B209" s="17">
        <v>0.31469999999999998</v>
      </c>
      <c r="C209" s="17">
        <v>0</v>
      </c>
      <c r="D209" s="13">
        <v>34251</v>
      </c>
      <c r="E209" s="223">
        <f>G209/B209*100</f>
        <v>7586329.8379408969</v>
      </c>
      <c r="F209" s="13">
        <v>1059536048</v>
      </c>
      <c r="G209" s="18">
        <v>23874.18</v>
      </c>
      <c r="H209" s="18">
        <v>3511399.17</v>
      </c>
      <c r="I209" s="18">
        <v>0</v>
      </c>
      <c r="J209" s="18">
        <v>200914.73</v>
      </c>
      <c r="K209" s="18">
        <v>50.08</v>
      </c>
      <c r="L209" s="18">
        <f>G209+H209+I209-J209+K209</f>
        <v>3334408.7</v>
      </c>
      <c r="M209" s="18">
        <v>100024.18</v>
      </c>
      <c r="N209" s="18">
        <f>L209-M209</f>
        <v>3234384.52</v>
      </c>
      <c r="O209" s="18">
        <v>0</v>
      </c>
      <c r="P209" s="18">
        <v>18.170000000000002</v>
      </c>
      <c r="Q209" s="18">
        <f>N209-O209-P209</f>
        <v>3234366.35</v>
      </c>
    </row>
    <row r="210" spans="1:20" s="14" customFormat="1" ht="12.75" customHeight="1">
      <c r="A210" s="16" t="s">
        <v>16</v>
      </c>
      <c r="B210" s="17">
        <f>B209</f>
        <v>0.31469999999999998</v>
      </c>
      <c r="C210" s="17">
        <f>C209</f>
        <v>0</v>
      </c>
      <c r="D210" s="13"/>
      <c r="E210" s="223"/>
      <c r="F210" s="329">
        <f>IF(E208&gt;E209,E208-E209,0)</f>
        <v>74521838.162059098</v>
      </c>
      <c r="G210" s="53">
        <f>F210*(B210-C210)/100</f>
        <v>234520.22469599996</v>
      </c>
      <c r="H210" s="18"/>
      <c r="I210" s="18">
        <f>F210*C210/100</f>
        <v>0</v>
      </c>
      <c r="J210" s="18"/>
      <c r="K210" s="18"/>
      <c r="L210" s="18">
        <f>G210+H210+I210-J210+K210</f>
        <v>234520.22469599996</v>
      </c>
      <c r="M210" s="18"/>
      <c r="N210" s="18">
        <f>L210-M210</f>
        <v>234520.22469599996</v>
      </c>
      <c r="O210" s="18"/>
      <c r="P210" s="18"/>
      <c r="Q210" s="18">
        <f>N210-O210-P210</f>
        <v>234520.22469599996</v>
      </c>
    </row>
    <row r="211" spans="1:20" s="14" customFormat="1" ht="12.75" customHeight="1">
      <c r="A211" s="16" t="s">
        <v>17</v>
      </c>
      <c r="B211" s="17">
        <f>B209</f>
        <v>0.31469999999999998</v>
      </c>
      <c r="C211" s="17">
        <f>C209</f>
        <v>0</v>
      </c>
      <c r="D211" s="13"/>
      <c r="E211" s="223"/>
      <c r="F211" s="25">
        <v>124362268</v>
      </c>
      <c r="G211" s="18"/>
      <c r="H211" s="53">
        <f>F211*(B211-C211)/100</f>
        <v>391368.05739599996</v>
      </c>
      <c r="I211" s="18">
        <f>F211*C211/100</f>
        <v>0</v>
      </c>
      <c r="J211" s="18">
        <v>0</v>
      </c>
      <c r="K211" s="18">
        <v>0</v>
      </c>
      <c r="L211" s="18">
        <f>G211+H211+I211-J211+K211</f>
        <v>391368.05739599996</v>
      </c>
      <c r="M211" s="18">
        <v>0</v>
      </c>
      <c r="N211" s="18">
        <f>L211-M211</f>
        <v>391368.05739599996</v>
      </c>
      <c r="O211" s="18">
        <v>0</v>
      </c>
      <c r="P211" s="18">
        <v>0</v>
      </c>
      <c r="Q211" s="18">
        <f>N211-O211-P211</f>
        <v>391368.05739599996</v>
      </c>
    </row>
    <row r="212" spans="1:20" s="14" customFormat="1" ht="12.75" customHeight="1">
      <c r="A212" s="16" t="s">
        <v>18</v>
      </c>
      <c r="B212" s="17"/>
      <c r="C212" s="17"/>
      <c r="D212" s="13"/>
      <c r="E212" s="223"/>
      <c r="F212" s="13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1:20" s="14" customFormat="1" ht="12.75" customHeight="1">
      <c r="A213" s="26" t="s">
        <v>19</v>
      </c>
      <c r="B213" s="17">
        <f>B209</f>
        <v>0.31469999999999998</v>
      </c>
      <c r="C213" s="17">
        <f>C209</f>
        <v>0</v>
      </c>
      <c r="D213" s="13"/>
      <c r="E213" s="223"/>
      <c r="F213" s="13">
        <v>222208994.21000001</v>
      </c>
      <c r="G213" s="18">
        <v>23784.61</v>
      </c>
      <c r="H213" s="18">
        <v>675549.92</v>
      </c>
      <c r="I213" s="18">
        <v>0</v>
      </c>
      <c r="J213" s="18">
        <v>13616.18</v>
      </c>
      <c r="K213" s="18">
        <v>0</v>
      </c>
      <c r="L213" s="18">
        <f>G213+H213+I213-J213+K213</f>
        <v>685718.35</v>
      </c>
      <c r="M213" s="18">
        <v>11439.46</v>
      </c>
      <c r="N213" s="18">
        <f>L213-M213</f>
        <v>674278.89</v>
      </c>
      <c r="O213" s="18">
        <v>0</v>
      </c>
      <c r="P213" s="18">
        <v>0</v>
      </c>
      <c r="Q213" s="53">
        <f>N213-O213-P213</f>
        <v>674278.89</v>
      </c>
    </row>
    <row r="214" spans="1:20" s="14" customFormat="1" ht="12.75" customHeight="1">
      <c r="A214" s="26" t="s">
        <v>20</v>
      </c>
      <c r="B214" s="17">
        <f>B209</f>
        <v>0.31469999999999998</v>
      </c>
      <c r="C214" s="17">
        <f>C209</f>
        <v>0</v>
      </c>
      <c r="D214" s="13"/>
      <c r="E214" s="223"/>
      <c r="F214" s="13">
        <v>14834268.300000001</v>
      </c>
      <c r="G214" s="18">
        <v>42442.69</v>
      </c>
      <c r="H214" s="18">
        <v>4240.5200000000004</v>
      </c>
      <c r="I214" s="18">
        <v>0</v>
      </c>
      <c r="J214" s="18">
        <v>0</v>
      </c>
      <c r="K214" s="18">
        <v>0</v>
      </c>
      <c r="L214" s="18">
        <f>G214+H214+I214-J214+K214</f>
        <v>46683.210000000006</v>
      </c>
      <c r="M214" s="18">
        <v>6.19</v>
      </c>
      <c r="N214" s="18">
        <f>L214-M214</f>
        <v>46677.020000000004</v>
      </c>
      <c r="O214" s="18">
        <v>0</v>
      </c>
      <c r="P214" s="18"/>
      <c r="Q214" s="18">
        <f>N214-O214-P214</f>
        <v>46677.020000000004</v>
      </c>
    </row>
    <row r="215" spans="1:20" s="14" customFormat="1" ht="12.75" customHeight="1">
      <c r="A215" s="16"/>
      <c r="B215" s="17"/>
      <c r="C215" s="17"/>
      <c r="D215" s="13"/>
      <c r="E215" s="223"/>
      <c r="F215" s="13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20" s="50" customFormat="1" ht="12.75" customHeight="1" thickBot="1">
      <c r="A216" s="60" t="str">
        <f>"TOTAL "&amp;A207</f>
        <v>TOTAL NE NV FIRE PROTECTION DISTRICT</v>
      </c>
      <c r="B216" s="68">
        <f>B209</f>
        <v>0.31469999999999998</v>
      </c>
      <c r="C216" s="68">
        <f>C209</f>
        <v>0</v>
      </c>
      <c r="D216" s="69">
        <f>SUM(D209:D211,D213:D214)</f>
        <v>34251</v>
      </c>
      <c r="E216" s="204"/>
      <c r="F216" s="69">
        <f t="shared" ref="F216:Q216" si="38">SUM(F209:F211,F213:F214)</f>
        <v>1495463416.6720591</v>
      </c>
      <c r="G216" s="70">
        <f t="shared" si="38"/>
        <v>324621.70469599997</v>
      </c>
      <c r="H216" s="70">
        <f t="shared" si="38"/>
        <v>4582557.6673959997</v>
      </c>
      <c r="I216" s="70">
        <f t="shared" si="38"/>
        <v>0</v>
      </c>
      <c r="J216" s="70">
        <f t="shared" si="38"/>
        <v>214530.91</v>
      </c>
      <c r="K216" s="70">
        <f t="shared" si="38"/>
        <v>50.08</v>
      </c>
      <c r="L216" s="70">
        <f t="shared" si="38"/>
        <v>4692698.5420920001</v>
      </c>
      <c r="M216" s="70">
        <f t="shared" si="38"/>
        <v>111469.82999999999</v>
      </c>
      <c r="N216" s="70">
        <f t="shared" si="38"/>
        <v>4581228.7120919991</v>
      </c>
      <c r="O216" s="70">
        <f t="shared" si="38"/>
        <v>0</v>
      </c>
      <c r="P216" s="70">
        <f t="shared" si="38"/>
        <v>18.170000000000002</v>
      </c>
      <c r="Q216" s="70">
        <f t="shared" si="38"/>
        <v>4581210.5420919992</v>
      </c>
    </row>
    <row r="217" spans="1:20" s="14" customFormat="1" ht="12.75" customHeight="1">
      <c r="A217" s="330" t="s">
        <v>355</v>
      </c>
      <c r="B217" s="17"/>
      <c r="C217" s="17"/>
      <c r="D217" s="13"/>
      <c r="E217" s="223"/>
      <c r="F217" s="24">
        <v>1491150310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1:20" s="14" customFormat="1" ht="12.75" customHeight="1">
      <c r="A218" s="151" t="s">
        <v>30</v>
      </c>
      <c r="B218" s="51"/>
      <c r="C218" s="51"/>
      <c r="D218" s="52"/>
      <c r="E218" s="223"/>
      <c r="F218" s="152">
        <f>F216-F217</f>
        <v>4313106.6720590591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T218" s="481">
        <f>68207532+15891796</f>
        <v>84099328</v>
      </c>
    </row>
    <row r="219" spans="1:20" ht="12.75" customHeight="1"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</row>
    <row r="220" spans="1:20" s="457" customFormat="1" ht="12.75" customHeight="1">
      <c r="A220" s="563" t="s">
        <v>104</v>
      </c>
      <c r="B220" s="542" t="s">
        <v>567</v>
      </c>
      <c r="D220" s="399"/>
      <c r="E220" s="399"/>
      <c r="F220" s="399"/>
      <c r="G220" s="399"/>
      <c r="H220" s="399"/>
      <c r="I220" s="399"/>
      <c r="J220" s="399"/>
      <c r="K220" s="399"/>
      <c r="L220" s="399"/>
      <c r="M220" s="399"/>
      <c r="N220" s="399"/>
      <c r="O220" s="399"/>
      <c r="P220" s="399"/>
      <c r="Q220" s="399"/>
    </row>
    <row r="221" spans="1:20" ht="12.75" customHeight="1">
      <c r="A221" s="47"/>
      <c r="B221" s="48"/>
      <c r="C221" s="48"/>
      <c r="D221" s="43"/>
      <c r="E221" s="173"/>
      <c r="F221" s="4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</row>
    <row r="222" spans="1:20" ht="12.75" customHeight="1">
      <c r="A222" s="47"/>
      <c r="B222" s="48"/>
      <c r="C222" s="48"/>
      <c r="D222" s="43"/>
      <c r="E222" s="173"/>
      <c r="F222" s="4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</row>
    <row r="223" spans="1:20" ht="12.75" customHeight="1">
      <c r="A223" s="47"/>
      <c r="B223" s="48"/>
      <c r="C223" s="48"/>
      <c r="D223" s="43"/>
      <c r="E223" s="173"/>
      <c r="F223" s="4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</row>
    <row r="224" spans="1:20" ht="12.75" customHeight="1">
      <c r="A224" s="67"/>
      <c r="B224" s="48"/>
      <c r="C224" s="48"/>
      <c r="D224" s="43"/>
      <c r="E224" s="173"/>
      <c r="F224" s="4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</row>
    <row r="225" spans="1:17" ht="12.75" customHeight="1">
      <c r="A225" s="67"/>
      <c r="B225" s="48"/>
      <c r="C225" s="48"/>
      <c r="D225" s="43"/>
      <c r="E225" s="173"/>
      <c r="F225" s="4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</row>
    <row r="226" spans="1:17" ht="12.75" customHeight="1">
      <c r="A226" s="47"/>
      <c r="B226" s="48"/>
      <c r="C226" s="48"/>
      <c r="D226" s="43"/>
      <c r="E226" s="173"/>
      <c r="F226" s="4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1:17" s="50" customFormat="1" ht="12.75" customHeight="1">
      <c r="A227" s="57"/>
      <c r="B227" s="51"/>
      <c r="C227" s="51"/>
      <c r="D227" s="52"/>
      <c r="E227" s="203"/>
      <c r="F227" s="52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</row>
    <row r="228" spans="1:17" ht="12.75" customHeight="1">
      <c r="E228" s="17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1:17" ht="12.75" customHeight="1">
      <c r="E229" s="17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</row>
    <row r="230" spans="1:17" ht="12.75" customHeight="1">
      <c r="A230" s="50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</row>
    <row r="231" spans="1:17" ht="12.75" customHeight="1">
      <c r="E231" s="212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1:17" ht="12.75" customHeight="1">
      <c r="B232" s="48"/>
      <c r="C232" s="48"/>
      <c r="D232" s="43"/>
      <c r="E232" s="173"/>
      <c r="F232" s="4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  <row r="233" spans="1:17" ht="12.75" customHeight="1">
      <c r="A233" s="47"/>
      <c r="B233" s="48"/>
      <c r="C233" s="48"/>
      <c r="D233" s="43"/>
      <c r="E233" s="173"/>
      <c r="F233" s="4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</row>
    <row r="234" spans="1:17" ht="12.75" customHeight="1">
      <c r="A234" s="47"/>
      <c r="B234" s="48"/>
      <c r="C234" s="48"/>
      <c r="D234" s="43"/>
      <c r="E234" s="173"/>
      <c r="F234" s="4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</row>
    <row r="235" spans="1:17" ht="12.75" customHeight="1">
      <c r="A235" s="47"/>
      <c r="B235" s="48"/>
      <c r="C235" s="48"/>
      <c r="D235" s="43"/>
      <c r="E235" s="173"/>
      <c r="F235" s="4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</row>
    <row r="236" spans="1:17" ht="12.75" customHeight="1">
      <c r="A236" s="67"/>
      <c r="B236" s="48"/>
      <c r="C236" s="48"/>
      <c r="D236" s="43"/>
      <c r="E236" s="173"/>
      <c r="F236" s="4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</row>
    <row r="237" spans="1:17" ht="12.75" customHeight="1">
      <c r="A237" s="67"/>
      <c r="B237" s="48"/>
      <c r="C237" s="48"/>
      <c r="D237" s="43"/>
      <c r="E237" s="173"/>
      <c r="F237" s="4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</row>
    <row r="238" spans="1:17" ht="12.75" customHeight="1">
      <c r="A238" s="47"/>
      <c r="B238" s="48"/>
      <c r="C238" s="48"/>
      <c r="D238" s="43"/>
      <c r="E238" s="173"/>
      <c r="F238" s="4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</row>
    <row r="239" spans="1:17" s="50" customFormat="1" ht="12.75" customHeight="1">
      <c r="A239" s="57"/>
      <c r="B239" s="51"/>
      <c r="C239" s="51"/>
      <c r="D239" s="52"/>
      <c r="E239" s="203"/>
      <c r="F239" s="52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</row>
    <row r="240" spans="1:17" ht="12.75" customHeight="1">
      <c r="E240" s="17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</row>
    <row r="241" spans="1:17" ht="12.75" customHeight="1">
      <c r="E241" s="17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</row>
    <row r="242" spans="1:17" ht="12.75" customHeight="1">
      <c r="A242" s="50"/>
      <c r="E242" s="210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</row>
    <row r="243" spans="1:17" ht="12.75" customHeight="1">
      <c r="A243" s="83"/>
      <c r="B243" s="85"/>
      <c r="C243" s="85"/>
      <c r="D243" s="85"/>
      <c r="F243" s="85"/>
      <c r="G243" s="86"/>
      <c r="H243" s="53"/>
      <c r="I243" s="53"/>
      <c r="J243" s="53"/>
      <c r="K243" s="53"/>
      <c r="L243" s="53"/>
      <c r="M243" s="53"/>
      <c r="N243" s="53"/>
      <c r="O243" s="53"/>
      <c r="P243" s="53"/>
      <c r="Q243" s="53"/>
    </row>
    <row r="244" spans="1:17" ht="12.75" customHeight="1">
      <c r="B244" s="48"/>
      <c r="C244" s="48"/>
      <c r="D244" s="43"/>
      <c r="E244" s="173"/>
      <c r="F244" s="4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</row>
    <row r="245" spans="1:17" ht="12.75" customHeight="1">
      <c r="A245" s="47"/>
      <c r="B245" s="48"/>
      <c r="C245" s="48"/>
      <c r="D245" s="43"/>
      <c r="E245" s="173"/>
      <c r="F245" s="4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</row>
    <row r="246" spans="1:17" ht="12.75" customHeight="1">
      <c r="A246" s="47"/>
      <c r="B246" s="48"/>
      <c r="C246" s="48"/>
      <c r="D246" s="43"/>
      <c r="E246" s="173"/>
      <c r="F246" s="4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</row>
    <row r="247" spans="1:17" ht="12.75" customHeight="1">
      <c r="A247" s="47"/>
      <c r="B247" s="48"/>
      <c r="C247" s="48"/>
      <c r="D247" s="43"/>
      <c r="E247" s="173"/>
      <c r="F247" s="4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</row>
    <row r="248" spans="1:17" ht="12.75" customHeight="1">
      <c r="A248" s="67"/>
      <c r="B248" s="48"/>
      <c r="C248" s="48"/>
      <c r="D248" s="43"/>
      <c r="E248" s="173"/>
      <c r="F248" s="4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</row>
    <row r="249" spans="1:17" ht="12.75" customHeight="1">
      <c r="A249" s="67"/>
      <c r="B249" s="48"/>
      <c r="C249" s="48"/>
      <c r="D249" s="43"/>
      <c r="E249" s="173"/>
      <c r="F249" s="4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</row>
    <row r="250" spans="1:17" ht="12.75" customHeight="1">
      <c r="A250" s="47"/>
      <c r="B250" s="48"/>
      <c r="C250" s="48"/>
      <c r="D250" s="43"/>
      <c r="E250" s="173"/>
      <c r="F250" s="4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</row>
    <row r="251" spans="1:17" s="50" customFormat="1" ht="12.75" customHeight="1">
      <c r="A251" s="57"/>
      <c r="B251" s="51"/>
      <c r="C251" s="51"/>
      <c r="D251" s="52"/>
      <c r="E251" s="203"/>
      <c r="F251" s="52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</row>
    <row r="252" spans="1:17" ht="12.75" customHeight="1">
      <c r="E252" s="17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</row>
    <row r="253" spans="1:17" ht="12.75" customHeight="1">
      <c r="E253" s="17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</row>
    <row r="254" spans="1:17" ht="12.75" customHeight="1">
      <c r="A254" s="50"/>
      <c r="B254" s="84"/>
      <c r="C254" s="84"/>
      <c r="D254" s="84"/>
      <c r="F254" s="84"/>
      <c r="G254" s="59"/>
      <c r="H254" s="53"/>
      <c r="I254" s="53"/>
      <c r="J254" s="53"/>
      <c r="K254" s="53"/>
      <c r="L254" s="53"/>
      <c r="M254" s="53"/>
      <c r="N254" s="53"/>
      <c r="O254" s="53"/>
      <c r="P254" s="53"/>
      <c r="Q254" s="53"/>
    </row>
    <row r="255" spans="1:17" ht="12.75" customHeight="1"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</row>
    <row r="256" spans="1:17" ht="12.75" customHeight="1">
      <c r="B256" s="48"/>
      <c r="C256" s="48"/>
      <c r="D256" s="43"/>
      <c r="E256" s="173"/>
      <c r="F256" s="4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</row>
    <row r="257" spans="1:17" ht="12.75" customHeight="1">
      <c r="A257" s="47"/>
      <c r="B257" s="48"/>
      <c r="C257" s="48"/>
      <c r="D257" s="43"/>
      <c r="E257" s="173"/>
      <c r="F257" s="4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</row>
    <row r="258" spans="1:17" ht="12.75" customHeight="1">
      <c r="A258" s="47"/>
      <c r="B258" s="48"/>
      <c r="C258" s="48"/>
      <c r="D258" s="43"/>
      <c r="E258" s="173"/>
      <c r="F258" s="4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</row>
    <row r="259" spans="1:17" ht="12.75" customHeight="1">
      <c r="A259" s="47"/>
      <c r="B259" s="48"/>
      <c r="C259" s="48"/>
      <c r="D259" s="43"/>
      <c r="E259" s="173"/>
      <c r="F259" s="4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</row>
    <row r="260" spans="1:17" ht="12.75" customHeight="1">
      <c r="A260" s="67"/>
      <c r="B260" s="48"/>
      <c r="C260" s="48"/>
      <c r="D260" s="43"/>
      <c r="E260" s="173"/>
      <c r="F260" s="4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</row>
    <row r="261" spans="1:17" ht="12.75" customHeight="1">
      <c r="A261" s="67"/>
      <c r="B261" s="48"/>
      <c r="C261" s="48"/>
      <c r="D261" s="43"/>
      <c r="E261" s="173"/>
      <c r="F261" s="4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</row>
    <row r="262" spans="1:17" ht="12.75" customHeight="1">
      <c r="A262" s="47"/>
      <c r="B262" s="48"/>
      <c r="C262" s="48"/>
      <c r="D262" s="43"/>
      <c r="E262" s="173"/>
      <c r="F262" s="4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</row>
    <row r="263" spans="1:17" s="50" customFormat="1" ht="12.75" customHeight="1">
      <c r="A263" s="57"/>
      <c r="B263" s="51"/>
      <c r="C263" s="51"/>
      <c r="D263" s="52"/>
      <c r="E263" s="203"/>
      <c r="F263" s="52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</row>
    <row r="264" spans="1:17" ht="12.75" customHeight="1">
      <c r="E264" s="17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</row>
    <row r="265" spans="1:17" ht="12.75" customHeight="1">
      <c r="E265" s="17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</row>
    <row r="266" spans="1:17" ht="12.75" customHeight="1">
      <c r="A266" s="50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</row>
    <row r="267" spans="1:17" ht="12.75" customHeight="1"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</row>
    <row r="268" spans="1:17" ht="12.75" customHeight="1">
      <c r="B268" s="48"/>
      <c r="C268" s="48"/>
      <c r="D268" s="43"/>
      <c r="E268" s="173"/>
      <c r="F268" s="4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</row>
    <row r="269" spans="1:17" ht="12.75" customHeight="1">
      <c r="A269" s="47"/>
      <c r="B269" s="48"/>
      <c r="C269" s="48"/>
      <c r="D269" s="43"/>
      <c r="E269" s="173"/>
      <c r="F269" s="4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</row>
    <row r="270" spans="1:17" ht="12.75" customHeight="1">
      <c r="A270" s="47"/>
      <c r="B270" s="48"/>
      <c r="C270" s="48"/>
      <c r="D270" s="43"/>
      <c r="E270" s="173"/>
      <c r="F270" s="4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</row>
    <row r="271" spans="1:17" ht="12.75" customHeight="1">
      <c r="A271" s="47"/>
      <c r="B271" s="48"/>
      <c r="C271" s="48"/>
      <c r="D271" s="43"/>
      <c r="E271" s="173"/>
      <c r="F271" s="4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</row>
    <row r="272" spans="1:17" ht="12.75" customHeight="1">
      <c r="A272" s="67"/>
      <c r="B272" s="48"/>
      <c r="C272" s="48"/>
      <c r="D272" s="43"/>
      <c r="E272" s="173"/>
      <c r="F272" s="4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</row>
    <row r="273" spans="1:17" ht="12.75" customHeight="1">
      <c r="A273" s="67"/>
      <c r="B273" s="48"/>
      <c r="C273" s="48"/>
      <c r="D273" s="43"/>
      <c r="E273" s="173"/>
      <c r="F273" s="4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</row>
    <row r="274" spans="1:17" ht="12.75" customHeight="1">
      <c r="A274" s="47"/>
      <c r="B274" s="48"/>
      <c r="C274" s="48"/>
      <c r="D274" s="43"/>
      <c r="E274" s="173"/>
      <c r="F274" s="4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</row>
    <row r="275" spans="1:17" s="50" customFormat="1" ht="12.75" customHeight="1">
      <c r="A275" s="57"/>
      <c r="B275" s="51"/>
      <c r="C275" s="51"/>
      <c r="D275" s="52"/>
      <c r="E275" s="203"/>
      <c r="F275" s="52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</row>
    <row r="276" spans="1:17" ht="12.75" customHeight="1">
      <c r="E276" s="17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</row>
    <row r="277" spans="1:17" ht="12.75" customHeight="1">
      <c r="E277" s="17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</row>
    <row r="278" spans="1:17" ht="12.75" customHeight="1">
      <c r="A278" s="50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</row>
    <row r="279" spans="1:17" ht="12.75" customHeight="1"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</row>
    <row r="280" spans="1:17" ht="12.75" customHeight="1">
      <c r="B280" s="48"/>
      <c r="C280" s="48"/>
      <c r="D280" s="43"/>
      <c r="E280" s="173"/>
      <c r="F280" s="4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</row>
    <row r="281" spans="1:17" ht="12.75" customHeight="1">
      <c r="A281" s="47"/>
      <c r="B281" s="48"/>
      <c r="C281" s="48"/>
      <c r="D281" s="43"/>
      <c r="E281" s="173"/>
      <c r="F281" s="4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</row>
    <row r="282" spans="1:17" ht="12.75" customHeight="1">
      <c r="A282" s="47"/>
      <c r="B282" s="48"/>
      <c r="C282" s="48"/>
      <c r="D282" s="43"/>
      <c r="E282" s="173"/>
      <c r="F282" s="4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</row>
    <row r="283" spans="1:17" ht="12.75" customHeight="1">
      <c r="A283" s="47"/>
      <c r="B283" s="48"/>
      <c r="C283" s="48"/>
      <c r="D283" s="43"/>
      <c r="E283" s="173"/>
      <c r="F283" s="4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</row>
    <row r="284" spans="1:17" ht="12.75" customHeight="1">
      <c r="A284" s="67"/>
      <c r="B284" s="48"/>
      <c r="C284" s="48"/>
      <c r="D284" s="43"/>
      <c r="E284" s="173"/>
      <c r="F284" s="4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</row>
    <row r="285" spans="1:17" ht="12.75" customHeight="1">
      <c r="A285" s="67"/>
      <c r="B285" s="48"/>
      <c r="C285" s="48"/>
      <c r="D285" s="43"/>
      <c r="E285" s="173"/>
      <c r="F285" s="4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</row>
    <row r="286" spans="1:17" ht="12.75" customHeight="1">
      <c r="A286" s="47"/>
      <c r="B286" s="48"/>
      <c r="C286" s="48"/>
      <c r="D286" s="43"/>
      <c r="E286" s="173"/>
      <c r="F286" s="4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</row>
    <row r="287" spans="1:17" s="50" customFormat="1" ht="12.75" customHeight="1">
      <c r="A287" s="57"/>
      <c r="B287" s="51"/>
      <c r="C287" s="51"/>
      <c r="D287" s="52"/>
      <c r="E287" s="203"/>
      <c r="F287" s="52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</row>
    <row r="288" spans="1:17" ht="12.75" customHeight="1">
      <c r="E288" s="17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</row>
    <row r="289" spans="1:17" ht="12.75" customHeight="1">
      <c r="E289" s="17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</row>
    <row r="290" spans="1:17" ht="12.75" customHeight="1">
      <c r="A290" s="50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</row>
    <row r="291" spans="1:17" ht="12.75" customHeight="1"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</row>
    <row r="292" spans="1:17" ht="12.75" customHeight="1">
      <c r="B292" s="48"/>
      <c r="C292" s="48"/>
      <c r="D292" s="43"/>
      <c r="E292" s="173"/>
      <c r="F292" s="4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</row>
    <row r="293" spans="1:17" ht="12.75" customHeight="1">
      <c r="A293" s="47"/>
      <c r="B293" s="48"/>
      <c r="C293" s="48"/>
      <c r="D293" s="43"/>
      <c r="E293" s="173"/>
      <c r="F293" s="4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</row>
    <row r="294" spans="1:17" ht="12.75" customHeight="1">
      <c r="A294" s="47"/>
      <c r="B294" s="48"/>
      <c r="C294" s="48"/>
      <c r="D294" s="43"/>
      <c r="E294" s="173"/>
      <c r="F294" s="4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</row>
    <row r="295" spans="1:17" ht="12.75" customHeight="1">
      <c r="A295" s="47"/>
      <c r="B295" s="48"/>
      <c r="C295" s="48"/>
      <c r="D295" s="43"/>
      <c r="E295" s="173"/>
      <c r="F295" s="4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</row>
    <row r="296" spans="1:17" ht="12.75" customHeight="1">
      <c r="A296" s="67"/>
      <c r="B296" s="48"/>
      <c r="C296" s="48"/>
      <c r="D296" s="43"/>
      <c r="E296" s="173"/>
      <c r="F296" s="4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</row>
    <row r="297" spans="1:17" ht="12.75" customHeight="1">
      <c r="A297" s="67"/>
      <c r="B297" s="48"/>
      <c r="C297" s="48"/>
      <c r="D297" s="43"/>
      <c r="E297" s="173"/>
      <c r="F297" s="4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</row>
    <row r="298" spans="1:17" ht="12.75" customHeight="1">
      <c r="A298" s="47"/>
      <c r="B298" s="48"/>
      <c r="C298" s="48"/>
      <c r="D298" s="43"/>
      <c r="E298" s="173"/>
      <c r="F298" s="4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</row>
    <row r="299" spans="1:17" s="50" customFormat="1" ht="12.75" customHeight="1">
      <c r="A299" s="57"/>
      <c r="B299" s="51"/>
      <c r="C299" s="51"/>
      <c r="D299" s="52"/>
      <c r="E299" s="203"/>
      <c r="F299" s="52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</row>
    <row r="300" spans="1:17" ht="12.75" customHeight="1">
      <c r="E300" s="17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</row>
    <row r="301" spans="1:17" ht="12.75" customHeight="1">
      <c r="E301" s="17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</row>
    <row r="302" spans="1:17" ht="12.75" customHeight="1">
      <c r="A302" s="50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</row>
    <row r="303" spans="1:17" ht="12.75" customHeight="1"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</row>
    <row r="304" spans="1:17" ht="12.75" customHeight="1">
      <c r="B304" s="48"/>
      <c r="C304" s="48"/>
      <c r="D304" s="43"/>
      <c r="E304" s="173"/>
      <c r="F304" s="4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</row>
    <row r="305" spans="1:17" ht="12.75" customHeight="1">
      <c r="A305" s="47"/>
      <c r="B305" s="48"/>
      <c r="C305" s="48"/>
      <c r="D305" s="43"/>
      <c r="E305" s="173"/>
      <c r="F305" s="4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</row>
    <row r="306" spans="1:17" ht="12.75" customHeight="1">
      <c r="A306" s="47"/>
      <c r="B306" s="48"/>
      <c r="C306" s="48"/>
      <c r="D306" s="43"/>
      <c r="E306" s="173"/>
      <c r="F306" s="4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</row>
    <row r="307" spans="1:17" ht="12.75" customHeight="1">
      <c r="A307" s="47"/>
      <c r="B307" s="48"/>
      <c r="C307" s="48"/>
      <c r="D307" s="43"/>
      <c r="E307" s="173"/>
      <c r="F307" s="4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</row>
    <row r="308" spans="1:17" ht="12.75" customHeight="1">
      <c r="A308" s="67"/>
      <c r="B308" s="48"/>
      <c r="C308" s="48"/>
      <c r="D308" s="43"/>
      <c r="E308" s="173"/>
      <c r="F308" s="4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</row>
    <row r="309" spans="1:17" ht="12.75" customHeight="1">
      <c r="A309" s="67"/>
      <c r="B309" s="48"/>
      <c r="C309" s="48"/>
      <c r="D309" s="43"/>
      <c r="E309" s="173"/>
      <c r="F309" s="4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</row>
    <row r="310" spans="1:17" ht="12.75" customHeight="1">
      <c r="A310" s="47"/>
      <c r="B310" s="48"/>
      <c r="C310" s="48"/>
      <c r="D310" s="43"/>
      <c r="E310" s="173"/>
      <c r="F310" s="4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</row>
    <row r="311" spans="1:17" s="50" customFormat="1" ht="12.75" customHeight="1">
      <c r="A311" s="57"/>
      <c r="B311" s="51"/>
      <c r="C311" s="51"/>
      <c r="D311" s="52"/>
      <c r="E311" s="203"/>
      <c r="F311" s="52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</row>
    <row r="312" spans="1:17" ht="12.75" customHeight="1">
      <c r="E312" s="17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</row>
    <row r="313" spans="1:17" ht="12.75" customHeight="1">
      <c r="A313" s="50"/>
      <c r="B313" s="50"/>
      <c r="C313" s="50"/>
      <c r="D313" s="50"/>
      <c r="E313" s="173"/>
      <c r="F313" s="50"/>
      <c r="G313" s="59"/>
      <c r="H313" s="53"/>
      <c r="I313" s="53"/>
      <c r="J313" s="53"/>
      <c r="K313" s="53"/>
      <c r="L313" s="53"/>
      <c r="M313" s="53"/>
      <c r="N313" s="53"/>
      <c r="O313" s="53"/>
      <c r="P313" s="53"/>
      <c r="Q313" s="53"/>
    </row>
    <row r="314" spans="1:17" ht="12.75" customHeight="1">
      <c r="A314" s="50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</row>
    <row r="315" spans="1:17" ht="12.75" customHeight="1"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</row>
    <row r="316" spans="1:17" ht="12.75" customHeight="1">
      <c r="B316" s="48"/>
      <c r="C316" s="48"/>
      <c r="D316" s="43"/>
      <c r="E316" s="173"/>
      <c r="F316" s="4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</row>
    <row r="317" spans="1:17" ht="12.75" customHeight="1">
      <c r="A317" s="47"/>
      <c r="B317" s="48"/>
      <c r="C317" s="48"/>
      <c r="D317" s="43"/>
      <c r="E317" s="173"/>
      <c r="F317" s="4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</row>
    <row r="318" spans="1:17" ht="12.75" customHeight="1">
      <c r="A318" s="47"/>
      <c r="B318" s="48"/>
      <c r="C318" s="48"/>
      <c r="D318" s="43"/>
      <c r="E318" s="173"/>
      <c r="F318" s="4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</row>
    <row r="319" spans="1:17" ht="12.75" customHeight="1">
      <c r="A319" s="47"/>
      <c r="B319" s="48"/>
      <c r="C319" s="48"/>
      <c r="D319" s="43"/>
      <c r="E319" s="173"/>
      <c r="F319" s="4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</row>
    <row r="320" spans="1:17" ht="12.75" customHeight="1">
      <c r="A320" s="67"/>
      <c r="B320" s="48"/>
      <c r="C320" s="48"/>
      <c r="D320" s="43"/>
      <c r="E320" s="173"/>
      <c r="F320" s="4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</row>
    <row r="321" spans="1:17" ht="12.75" customHeight="1">
      <c r="A321" s="67"/>
      <c r="B321" s="48"/>
      <c r="C321" s="48"/>
      <c r="D321" s="43"/>
      <c r="E321" s="173"/>
      <c r="F321" s="4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</row>
    <row r="322" spans="1:17" ht="12.75" customHeight="1">
      <c r="A322" s="47"/>
      <c r="B322" s="48"/>
      <c r="C322" s="48"/>
      <c r="D322" s="43"/>
      <c r="E322" s="173"/>
      <c r="F322" s="4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</row>
    <row r="323" spans="1:17" s="50" customFormat="1" ht="12.75" customHeight="1">
      <c r="A323" s="57"/>
      <c r="B323" s="51"/>
      <c r="C323" s="51"/>
      <c r="D323" s="52"/>
      <c r="E323" s="203"/>
      <c r="F323" s="52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</row>
    <row r="324" spans="1:17" ht="12.75" customHeight="1">
      <c r="A324" s="50"/>
      <c r="B324" s="50"/>
      <c r="C324" s="50"/>
      <c r="D324" s="50"/>
      <c r="E324" s="173"/>
      <c r="F324" s="50"/>
      <c r="G324" s="59"/>
      <c r="H324" s="53"/>
      <c r="I324" s="53"/>
      <c r="J324" s="53"/>
      <c r="K324" s="53"/>
      <c r="L324" s="53"/>
      <c r="M324" s="53"/>
      <c r="N324" s="53"/>
      <c r="O324" s="53"/>
      <c r="P324" s="53"/>
      <c r="Q324" s="53"/>
    </row>
    <row r="325" spans="1:17" ht="12.75" customHeight="1">
      <c r="E325" s="17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</row>
    <row r="326" spans="1:17" ht="12.75" customHeight="1">
      <c r="A326" s="50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</row>
    <row r="327" spans="1:17" ht="12.75" customHeight="1"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</row>
    <row r="328" spans="1:17" ht="12.75" customHeight="1">
      <c r="B328" s="48"/>
      <c r="C328" s="48"/>
      <c r="D328" s="43"/>
      <c r="E328" s="173"/>
      <c r="F328" s="4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</row>
    <row r="329" spans="1:17" ht="12.75" customHeight="1">
      <c r="A329" s="47"/>
      <c r="B329" s="48"/>
      <c r="C329" s="48"/>
      <c r="D329" s="43"/>
      <c r="E329" s="173"/>
      <c r="F329" s="4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</row>
    <row r="330" spans="1:17" ht="12.75" customHeight="1">
      <c r="A330" s="47"/>
      <c r="B330" s="48"/>
      <c r="C330" s="48"/>
      <c r="D330" s="43"/>
      <c r="E330" s="173"/>
      <c r="F330" s="4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</row>
    <row r="331" spans="1:17" ht="12.75" customHeight="1">
      <c r="A331" s="47"/>
      <c r="B331" s="48"/>
      <c r="C331" s="48"/>
      <c r="D331" s="43"/>
      <c r="E331" s="173"/>
      <c r="F331" s="4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</row>
    <row r="332" spans="1:17" ht="12.75" customHeight="1">
      <c r="A332" s="67"/>
      <c r="B332" s="48"/>
      <c r="C332" s="48"/>
      <c r="D332" s="43"/>
      <c r="E332" s="173"/>
      <c r="F332" s="4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</row>
    <row r="333" spans="1:17" ht="12.75" customHeight="1">
      <c r="A333" s="67"/>
      <c r="B333" s="48"/>
      <c r="C333" s="48"/>
      <c r="D333" s="43"/>
      <c r="E333" s="173"/>
      <c r="F333" s="4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</row>
    <row r="334" spans="1:17" ht="12.75" customHeight="1">
      <c r="A334" s="47"/>
      <c r="B334" s="48"/>
      <c r="C334" s="48"/>
      <c r="D334" s="43"/>
      <c r="E334" s="173"/>
      <c r="F334" s="4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</row>
    <row r="335" spans="1:17" s="50" customFormat="1" ht="12.75" customHeight="1">
      <c r="A335" s="57"/>
      <c r="B335" s="51"/>
      <c r="C335" s="51"/>
      <c r="D335" s="52"/>
      <c r="E335" s="203"/>
      <c r="F335" s="52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</row>
    <row r="336" spans="1:17" ht="12.75" customHeight="1">
      <c r="E336" s="17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</row>
    <row r="337" spans="1:17" ht="12.75" customHeight="1">
      <c r="A337" s="83"/>
      <c r="B337" s="84"/>
      <c r="C337" s="84"/>
      <c r="D337" s="84"/>
      <c r="E337" s="173"/>
      <c r="F337" s="84"/>
      <c r="G337" s="59"/>
      <c r="H337" s="53"/>
      <c r="I337" s="53"/>
      <c r="J337" s="53"/>
      <c r="K337" s="53"/>
      <c r="L337" s="53"/>
      <c r="M337" s="53"/>
      <c r="N337" s="53"/>
      <c r="O337" s="53"/>
      <c r="P337" s="53"/>
      <c r="Q337" s="53"/>
    </row>
    <row r="338" spans="1:17" ht="12.75" customHeight="1">
      <c r="A338" s="50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</row>
    <row r="339" spans="1:17" ht="12.75" customHeight="1">
      <c r="A339" s="50"/>
      <c r="B339" s="50"/>
      <c r="C339" s="50"/>
      <c r="D339" s="50"/>
      <c r="E339" s="210"/>
      <c r="F339" s="50"/>
      <c r="G339" s="59"/>
      <c r="H339" s="53"/>
      <c r="I339" s="53"/>
      <c r="J339" s="53"/>
      <c r="K339" s="53"/>
      <c r="L339" s="53"/>
      <c r="M339" s="53"/>
      <c r="N339" s="53"/>
      <c r="O339" s="53"/>
      <c r="P339" s="53"/>
      <c r="Q339" s="53"/>
    </row>
    <row r="340" spans="1:17" ht="12.75" customHeight="1">
      <c r="B340" s="48"/>
      <c r="C340" s="48"/>
      <c r="D340" s="43"/>
      <c r="E340" s="173"/>
      <c r="F340" s="4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</row>
    <row r="341" spans="1:17" ht="12.75" customHeight="1">
      <c r="A341" s="47"/>
      <c r="B341" s="48"/>
      <c r="C341" s="48"/>
      <c r="D341" s="43"/>
      <c r="E341" s="173"/>
      <c r="F341" s="4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</row>
    <row r="342" spans="1:17" ht="12.75" customHeight="1">
      <c r="A342" s="47"/>
      <c r="B342" s="48"/>
      <c r="C342" s="48"/>
      <c r="D342" s="43"/>
      <c r="E342" s="173"/>
      <c r="F342" s="4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</row>
    <row r="343" spans="1:17" ht="12.75" customHeight="1">
      <c r="A343" s="47"/>
      <c r="B343" s="48"/>
      <c r="C343" s="48"/>
      <c r="D343" s="43"/>
      <c r="E343" s="173"/>
      <c r="F343" s="4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</row>
    <row r="344" spans="1:17" ht="12.75" customHeight="1">
      <c r="A344" s="67"/>
      <c r="B344" s="48"/>
      <c r="C344" s="48"/>
      <c r="D344" s="43"/>
      <c r="E344" s="173"/>
      <c r="F344" s="4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</row>
    <row r="345" spans="1:17" ht="12.75" customHeight="1">
      <c r="A345" s="67"/>
      <c r="B345" s="48"/>
      <c r="C345" s="48"/>
      <c r="D345" s="43"/>
      <c r="E345" s="173"/>
      <c r="F345" s="4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</row>
    <row r="346" spans="1:17" ht="12.75" customHeight="1">
      <c r="A346" s="47"/>
      <c r="B346" s="48"/>
      <c r="C346" s="48"/>
      <c r="D346" s="43"/>
      <c r="E346" s="173"/>
      <c r="F346" s="4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</row>
    <row r="347" spans="1:17" s="50" customFormat="1" ht="12.75" customHeight="1">
      <c r="A347" s="57"/>
      <c r="B347" s="51"/>
      <c r="C347" s="51"/>
      <c r="D347" s="52"/>
      <c r="E347" s="203"/>
      <c r="F347" s="52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</row>
    <row r="348" spans="1:17" ht="12.75" customHeight="1"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</row>
    <row r="349" spans="1:17" ht="12.75" customHeight="1"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</row>
    <row r="350" spans="1:17" ht="12.75" customHeight="1">
      <c r="A350" s="50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</row>
    <row r="351" spans="1:17" ht="12.75" customHeight="1"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</row>
    <row r="352" spans="1:17" ht="12.75" customHeight="1">
      <c r="B352" s="48"/>
      <c r="C352" s="48"/>
      <c r="D352" s="43"/>
      <c r="E352" s="173"/>
      <c r="F352" s="4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</row>
    <row r="353" spans="1:17" ht="12.75" customHeight="1">
      <c r="A353" s="47"/>
      <c r="B353" s="48"/>
      <c r="C353" s="48"/>
      <c r="D353" s="43"/>
      <c r="E353" s="173"/>
      <c r="F353" s="4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</row>
    <row r="354" spans="1:17" ht="12.75" customHeight="1">
      <c r="A354" s="47"/>
      <c r="B354" s="48"/>
      <c r="C354" s="48"/>
      <c r="D354" s="43"/>
      <c r="E354" s="173"/>
      <c r="F354" s="4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</row>
    <row r="355" spans="1:17" ht="12.75" customHeight="1">
      <c r="A355" s="47"/>
      <c r="B355" s="48"/>
      <c r="C355" s="48"/>
      <c r="D355" s="43"/>
      <c r="E355" s="173"/>
      <c r="F355" s="4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</row>
    <row r="356" spans="1:17" ht="12.75" customHeight="1">
      <c r="A356" s="67"/>
      <c r="B356" s="48"/>
      <c r="C356" s="48"/>
      <c r="D356" s="43"/>
      <c r="E356" s="173"/>
      <c r="F356" s="4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</row>
    <row r="357" spans="1:17" ht="12.75" customHeight="1">
      <c r="A357" s="67"/>
      <c r="B357" s="48"/>
      <c r="C357" s="48"/>
      <c r="D357" s="43"/>
      <c r="E357" s="173"/>
      <c r="F357" s="4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</row>
    <row r="358" spans="1:17" ht="12.75" customHeight="1">
      <c r="A358" s="47"/>
      <c r="B358" s="48"/>
      <c r="C358" s="48"/>
      <c r="D358" s="43"/>
      <c r="E358" s="173"/>
      <c r="F358" s="4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</row>
    <row r="359" spans="1:17" s="50" customFormat="1" ht="12.75" customHeight="1">
      <c r="A359" s="57"/>
      <c r="B359" s="51"/>
      <c r="C359" s="51"/>
      <c r="D359" s="52"/>
      <c r="E359" s="203"/>
      <c r="F359" s="52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</row>
    <row r="360" spans="1:17" ht="12.75" customHeight="1"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</row>
    <row r="361" spans="1:17" ht="12.75" customHeight="1"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</row>
    <row r="362" spans="1:17" ht="12.75" customHeight="1">
      <c r="A362" s="50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</row>
    <row r="363" spans="1:17" ht="12.75" customHeight="1">
      <c r="A363" s="83"/>
      <c r="B363" s="84"/>
      <c r="C363" s="84"/>
      <c r="D363" s="84"/>
      <c r="E363" s="210"/>
      <c r="F363" s="84"/>
      <c r="G363" s="59"/>
      <c r="H363" s="53"/>
      <c r="I363" s="53"/>
      <c r="J363" s="53"/>
      <c r="K363" s="53"/>
      <c r="L363" s="53"/>
      <c r="M363" s="53"/>
      <c r="N363" s="53"/>
      <c r="O363" s="53"/>
      <c r="P363" s="53"/>
      <c r="Q363" s="53"/>
    </row>
    <row r="364" spans="1:17" ht="12.75" customHeight="1">
      <c r="B364" s="48"/>
      <c r="C364" s="48"/>
      <c r="D364" s="43"/>
      <c r="E364" s="173"/>
      <c r="F364" s="4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</row>
    <row r="365" spans="1:17" ht="12.75" customHeight="1">
      <c r="A365" s="47"/>
      <c r="B365" s="48"/>
      <c r="C365" s="48"/>
      <c r="D365" s="43"/>
      <c r="E365" s="173"/>
      <c r="F365" s="4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</row>
    <row r="366" spans="1:17" ht="12.75" customHeight="1">
      <c r="A366" s="47"/>
      <c r="B366" s="48"/>
      <c r="C366" s="48"/>
      <c r="D366" s="43"/>
      <c r="E366" s="173"/>
      <c r="F366" s="4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</row>
    <row r="367" spans="1:17" ht="12.75" customHeight="1">
      <c r="A367" s="47"/>
      <c r="B367" s="48"/>
      <c r="C367" s="48"/>
      <c r="D367" s="43"/>
      <c r="E367" s="173"/>
      <c r="F367" s="4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</row>
    <row r="368" spans="1:17" ht="12.75" customHeight="1">
      <c r="A368" s="67"/>
      <c r="B368" s="48"/>
      <c r="C368" s="48"/>
      <c r="D368" s="43"/>
      <c r="E368" s="173"/>
      <c r="F368" s="4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</row>
    <row r="369" spans="1:17" ht="12.75" customHeight="1">
      <c r="A369" s="67"/>
      <c r="B369" s="48"/>
      <c r="C369" s="48"/>
      <c r="D369" s="43"/>
      <c r="E369" s="173"/>
      <c r="F369" s="4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</row>
    <row r="370" spans="1:17" ht="12.75" customHeight="1">
      <c r="A370" s="47"/>
      <c r="B370" s="48"/>
      <c r="C370" s="48"/>
      <c r="D370" s="43"/>
      <c r="E370" s="173"/>
      <c r="F370" s="4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</row>
    <row r="371" spans="1:17" s="50" customFormat="1" ht="12.75" customHeight="1">
      <c r="A371" s="57"/>
      <c r="B371" s="51"/>
      <c r="C371" s="51"/>
      <c r="D371" s="52"/>
      <c r="E371" s="203"/>
      <c r="F371" s="52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</row>
    <row r="372" spans="1:17" ht="12.75" customHeight="1"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</row>
    <row r="373" spans="1:17" ht="12.75" customHeight="1"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</row>
    <row r="374" spans="1:17" ht="12.75" customHeight="1">
      <c r="A374" s="50"/>
      <c r="B374" s="50"/>
      <c r="C374" s="50"/>
      <c r="D374" s="50"/>
      <c r="E374" s="211"/>
      <c r="F374" s="50"/>
      <c r="G374" s="59"/>
      <c r="H374" s="53"/>
      <c r="I374" s="53"/>
      <c r="J374" s="53"/>
      <c r="K374" s="53"/>
      <c r="L374" s="53"/>
      <c r="M374" s="53"/>
      <c r="N374" s="53"/>
      <c r="O374" s="53"/>
      <c r="P374" s="53"/>
      <c r="Q374" s="53"/>
    </row>
    <row r="375" spans="1:17" ht="12.75" customHeight="1">
      <c r="A375" s="50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</row>
    <row r="376" spans="1:17" ht="12.75" customHeight="1">
      <c r="B376" s="48"/>
      <c r="C376" s="48"/>
      <c r="D376" s="43"/>
      <c r="E376" s="173"/>
      <c r="F376" s="4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</row>
    <row r="377" spans="1:17" ht="12.75" customHeight="1">
      <c r="A377" s="47"/>
      <c r="B377" s="48"/>
      <c r="C377" s="48"/>
      <c r="D377" s="43"/>
      <c r="E377" s="173"/>
      <c r="F377" s="4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</row>
    <row r="378" spans="1:17" ht="12.75" customHeight="1">
      <c r="A378" s="47"/>
      <c r="B378" s="48"/>
      <c r="C378" s="48"/>
      <c r="D378" s="43"/>
      <c r="E378" s="173"/>
      <c r="F378" s="4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</row>
    <row r="379" spans="1:17" ht="12.75" customHeight="1">
      <c r="A379" s="47"/>
      <c r="B379" s="48"/>
      <c r="C379" s="48"/>
      <c r="D379" s="43"/>
      <c r="E379" s="173"/>
      <c r="F379" s="4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</row>
    <row r="380" spans="1:17" ht="12.75" customHeight="1">
      <c r="A380" s="67"/>
      <c r="B380" s="48"/>
      <c r="C380" s="48"/>
      <c r="D380" s="43"/>
      <c r="E380" s="173"/>
      <c r="F380" s="4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</row>
    <row r="381" spans="1:17" ht="12.75" customHeight="1">
      <c r="A381" s="67"/>
      <c r="B381" s="48"/>
      <c r="C381" s="48"/>
      <c r="D381" s="43"/>
      <c r="E381" s="173"/>
      <c r="F381" s="4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</row>
    <row r="382" spans="1:17" ht="12.75" customHeight="1">
      <c r="A382" s="47"/>
      <c r="B382" s="48"/>
      <c r="C382" s="48"/>
      <c r="D382" s="43"/>
      <c r="E382" s="173"/>
      <c r="F382" s="4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</row>
    <row r="383" spans="1:17" s="50" customFormat="1" ht="12.75" customHeight="1">
      <c r="A383" s="57"/>
      <c r="B383" s="51"/>
      <c r="C383" s="51"/>
      <c r="D383" s="52"/>
      <c r="E383" s="203"/>
      <c r="F383" s="52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</row>
    <row r="384" spans="1:17" ht="12.75" customHeight="1">
      <c r="A384" s="50"/>
      <c r="B384" s="50"/>
      <c r="C384" s="50"/>
      <c r="D384" s="50"/>
      <c r="E384" s="211"/>
      <c r="F384" s="50"/>
      <c r="G384" s="59"/>
      <c r="H384" s="53"/>
      <c r="I384" s="53"/>
      <c r="J384" s="53"/>
      <c r="K384" s="53"/>
      <c r="L384" s="53"/>
      <c r="M384" s="53"/>
      <c r="N384" s="53"/>
      <c r="O384" s="53"/>
      <c r="P384" s="53"/>
      <c r="Q384" s="53"/>
    </row>
    <row r="385" spans="1:17" ht="12.75" customHeight="1"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</row>
    <row r="386" spans="1:17" ht="12.75" customHeight="1">
      <c r="A386" s="50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</row>
    <row r="387" spans="1:17" ht="12.75" customHeight="1"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</row>
    <row r="388" spans="1:17" ht="12.75" customHeight="1">
      <c r="B388" s="48"/>
      <c r="C388" s="48"/>
      <c r="D388" s="43"/>
      <c r="E388" s="173"/>
      <c r="F388" s="4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</row>
    <row r="389" spans="1:17" ht="12.75" customHeight="1">
      <c r="A389" s="47"/>
      <c r="B389" s="48"/>
      <c r="C389" s="48"/>
      <c r="D389" s="43"/>
      <c r="E389" s="173"/>
      <c r="F389" s="4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</row>
    <row r="390" spans="1:17" ht="12.75" customHeight="1">
      <c r="A390" s="47"/>
      <c r="B390" s="48"/>
      <c r="C390" s="48"/>
      <c r="D390" s="43"/>
      <c r="E390" s="173"/>
      <c r="F390" s="4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</row>
    <row r="391" spans="1:17" ht="12.75" customHeight="1">
      <c r="A391" s="47"/>
      <c r="B391" s="48"/>
      <c r="C391" s="48"/>
      <c r="D391" s="43"/>
      <c r="E391" s="173"/>
      <c r="F391" s="4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</row>
    <row r="392" spans="1:17" ht="12.75" customHeight="1">
      <c r="A392" s="67"/>
      <c r="B392" s="48"/>
      <c r="C392" s="48"/>
      <c r="D392" s="43"/>
      <c r="E392" s="173"/>
      <c r="F392" s="4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</row>
    <row r="393" spans="1:17" ht="12.75" customHeight="1">
      <c r="A393" s="67"/>
      <c r="B393" s="48"/>
      <c r="C393" s="48"/>
      <c r="D393" s="43"/>
      <c r="E393" s="173"/>
      <c r="F393" s="4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</row>
    <row r="394" spans="1:17" ht="12.75" customHeight="1">
      <c r="A394" s="47"/>
      <c r="B394" s="48"/>
      <c r="C394" s="48"/>
      <c r="D394" s="43"/>
      <c r="E394" s="173"/>
      <c r="F394" s="4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</row>
    <row r="395" spans="1:17" s="50" customFormat="1" ht="12.75" customHeight="1">
      <c r="A395" s="57"/>
      <c r="B395" s="51"/>
      <c r="C395" s="51"/>
      <c r="D395" s="52"/>
      <c r="E395" s="203"/>
      <c r="F395" s="52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</row>
    <row r="396" spans="1:17" ht="12.75" customHeight="1">
      <c r="A396" s="83"/>
      <c r="B396" s="84"/>
      <c r="C396" s="84"/>
      <c r="D396" s="84"/>
      <c r="E396" s="210"/>
      <c r="F396" s="84"/>
      <c r="G396" s="59"/>
      <c r="H396" s="53"/>
      <c r="I396" s="53"/>
      <c r="J396" s="53"/>
      <c r="K396" s="53"/>
      <c r="L396" s="53"/>
      <c r="M396" s="53"/>
      <c r="N396" s="53"/>
      <c r="O396" s="53"/>
      <c r="P396" s="53"/>
      <c r="Q396" s="53"/>
    </row>
    <row r="397" spans="1:17" ht="12.75" customHeight="1"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</row>
    <row r="398" spans="1:17" ht="12.75" customHeight="1">
      <c r="A398" s="50"/>
      <c r="B398" s="50"/>
      <c r="C398" s="50"/>
      <c r="D398" s="50"/>
      <c r="E398" s="211"/>
      <c r="F398" s="50"/>
      <c r="G398" s="59"/>
      <c r="H398" s="53"/>
      <c r="I398" s="53"/>
      <c r="J398" s="53"/>
      <c r="K398" s="53"/>
      <c r="L398" s="53"/>
      <c r="M398" s="53"/>
      <c r="N398" s="53"/>
      <c r="O398" s="53"/>
      <c r="P398" s="53"/>
      <c r="Q398" s="53"/>
    </row>
    <row r="399" spans="1:17" ht="12.75" customHeight="1"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</row>
    <row r="400" spans="1:17" ht="12.75" customHeight="1">
      <c r="B400" s="48"/>
      <c r="C400" s="48"/>
      <c r="D400" s="43"/>
      <c r="E400" s="173"/>
      <c r="F400" s="4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</row>
    <row r="401" spans="1:17" ht="12.75" customHeight="1">
      <c r="A401" s="47"/>
      <c r="B401" s="48"/>
      <c r="C401" s="48"/>
      <c r="D401" s="43"/>
      <c r="E401" s="173"/>
      <c r="F401" s="4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</row>
    <row r="402" spans="1:17" ht="12.75" customHeight="1">
      <c r="A402" s="47"/>
      <c r="B402" s="48"/>
      <c r="C402" s="48"/>
      <c r="D402" s="43"/>
      <c r="E402" s="173"/>
      <c r="F402" s="4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</row>
    <row r="403" spans="1:17" ht="12.75" customHeight="1">
      <c r="A403" s="47"/>
      <c r="B403" s="48"/>
      <c r="C403" s="48"/>
      <c r="D403" s="43"/>
      <c r="E403" s="173"/>
      <c r="F403" s="4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</row>
    <row r="404" spans="1:17" ht="12.75" customHeight="1">
      <c r="A404" s="67"/>
      <c r="B404" s="48"/>
      <c r="C404" s="48"/>
      <c r="D404" s="43"/>
      <c r="E404" s="173"/>
      <c r="F404" s="4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</row>
    <row r="405" spans="1:17" ht="12.75" customHeight="1">
      <c r="A405" s="67"/>
      <c r="B405" s="48"/>
      <c r="C405" s="48"/>
      <c r="D405" s="43"/>
      <c r="E405" s="173"/>
      <c r="F405" s="4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</row>
    <row r="406" spans="1:17" ht="12.75" customHeight="1">
      <c r="A406" s="47"/>
      <c r="B406" s="48"/>
      <c r="C406" s="48"/>
      <c r="D406" s="43"/>
      <c r="E406" s="173"/>
      <c r="F406" s="4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</row>
    <row r="407" spans="1:17" s="50" customFormat="1" ht="12.75" customHeight="1">
      <c r="A407" s="57"/>
      <c r="B407" s="51"/>
      <c r="C407" s="51"/>
      <c r="D407" s="52"/>
      <c r="E407" s="203"/>
      <c r="F407" s="52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</row>
    <row r="408" spans="1:17" ht="12.75" customHeight="1"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</row>
    <row r="409" spans="1:17" ht="12.75" customHeight="1"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</row>
    <row r="410" spans="1:17" ht="12.75" customHeight="1">
      <c r="A410" s="50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</row>
    <row r="411" spans="1:17" ht="12.75" customHeight="1">
      <c r="A411" s="83"/>
      <c r="B411" s="85"/>
      <c r="C411" s="85"/>
      <c r="D411" s="85"/>
      <c r="E411" s="212"/>
      <c r="F411" s="85"/>
      <c r="G411" s="86"/>
      <c r="H411" s="53"/>
      <c r="I411" s="53"/>
      <c r="J411" s="53"/>
      <c r="K411" s="53"/>
      <c r="L411" s="53"/>
      <c r="M411" s="53"/>
      <c r="N411" s="53"/>
      <c r="O411" s="53"/>
      <c r="P411" s="53"/>
      <c r="Q411" s="53"/>
    </row>
    <row r="412" spans="1:17" ht="12.75" customHeight="1">
      <c r="B412" s="48"/>
      <c r="C412" s="48"/>
      <c r="D412" s="43"/>
      <c r="E412" s="173"/>
      <c r="F412" s="4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</row>
    <row r="413" spans="1:17" ht="12.75" customHeight="1">
      <c r="A413" s="47"/>
      <c r="B413" s="48"/>
      <c r="C413" s="48"/>
      <c r="D413" s="43"/>
      <c r="E413" s="173"/>
      <c r="F413" s="4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</row>
    <row r="414" spans="1:17" ht="12.75" customHeight="1">
      <c r="A414" s="47"/>
      <c r="B414" s="48"/>
      <c r="C414" s="48"/>
      <c r="D414" s="43"/>
      <c r="E414" s="173"/>
      <c r="F414" s="4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</row>
    <row r="415" spans="1:17" ht="12.75" customHeight="1">
      <c r="A415" s="47"/>
      <c r="B415" s="48"/>
      <c r="C415" s="48"/>
      <c r="D415" s="43"/>
      <c r="E415" s="173"/>
      <c r="F415" s="4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</row>
    <row r="416" spans="1:17" ht="12.75" customHeight="1">
      <c r="A416" s="67"/>
      <c r="B416" s="48"/>
      <c r="C416" s="48"/>
      <c r="D416" s="43"/>
      <c r="E416" s="173"/>
      <c r="F416" s="4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</row>
    <row r="417" spans="1:17" ht="12.75" customHeight="1">
      <c r="A417" s="67"/>
      <c r="B417" s="48"/>
      <c r="C417" s="48"/>
      <c r="D417" s="43"/>
      <c r="E417" s="173"/>
      <c r="F417" s="4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</row>
    <row r="418" spans="1:17" ht="12.75" customHeight="1">
      <c r="A418" s="47"/>
      <c r="B418" s="48"/>
      <c r="C418" s="48"/>
      <c r="D418" s="43"/>
      <c r="E418" s="173"/>
      <c r="F418" s="4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</row>
    <row r="419" spans="1:17" s="50" customFormat="1" ht="12.75" customHeight="1">
      <c r="A419" s="57"/>
      <c r="B419" s="51"/>
      <c r="C419" s="51"/>
      <c r="D419" s="52"/>
      <c r="E419" s="203"/>
      <c r="F419" s="52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</row>
    <row r="420" spans="1:17" ht="12.75" customHeight="1"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</row>
    <row r="421" spans="1:17" ht="12.75" customHeight="1"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</row>
    <row r="422" spans="1:17" ht="12.75" customHeight="1">
      <c r="A422" s="50"/>
      <c r="B422" s="84"/>
      <c r="C422" s="84"/>
      <c r="D422" s="84"/>
      <c r="E422" s="210"/>
      <c r="F422" s="84"/>
      <c r="G422" s="59"/>
      <c r="H422" s="53"/>
      <c r="I422" s="53"/>
      <c r="J422" s="53"/>
      <c r="K422" s="53"/>
      <c r="L422" s="53"/>
      <c r="M422" s="53"/>
      <c r="N422" s="53"/>
      <c r="O422" s="53"/>
      <c r="P422" s="53"/>
      <c r="Q422" s="53"/>
    </row>
    <row r="423" spans="1:17" ht="12.75" customHeight="1"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</row>
    <row r="424" spans="1:17" ht="12.75" customHeight="1">
      <c r="B424" s="48"/>
      <c r="C424" s="48"/>
      <c r="D424" s="43"/>
      <c r="E424" s="173"/>
      <c r="F424" s="4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</row>
    <row r="425" spans="1:17" ht="12.75" customHeight="1">
      <c r="A425" s="47"/>
      <c r="B425" s="48"/>
      <c r="C425" s="48"/>
      <c r="D425" s="43"/>
      <c r="E425" s="173"/>
      <c r="F425" s="4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</row>
    <row r="426" spans="1:17" ht="12.75" customHeight="1">
      <c r="A426" s="47"/>
      <c r="B426" s="48"/>
      <c r="C426" s="48"/>
      <c r="D426" s="43"/>
      <c r="E426" s="173"/>
      <c r="F426" s="4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</row>
    <row r="427" spans="1:17" ht="12.75" customHeight="1">
      <c r="A427" s="47"/>
      <c r="B427" s="48"/>
      <c r="C427" s="48"/>
      <c r="D427" s="43"/>
      <c r="E427" s="173"/>
      <c r="F427" s="4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</row>
    <row r="428" spans="1:17" ht="12.75" customHeight="1">
      <c r="A428" s="67"/>
      <c r="B428" s="48"/>
      <c r="C428" s="48"/>
      <c r="D428" s="43"/>
      <c r="E428" s="173"/>
      <c r="F428" s="4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</row>
    <row r="429" spans="1:17" ht="12.75" customHeight="1">
      <c r="A429" s="67"/>
      <c r="B429" s="48"/>
      <c r="C429" s="48"/>
      <c r="D429" s="43"/>
      <c r="E429" s="173"/>
      <c r="F429" s="4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</row>
    <row r="430" spans="1:17" ht="12.75" customHeight="1">
      <c r="A430" s="47"/>
      <c r="B430" s="48"/>
      <c r="C430" s="48"/>
      <c r="D430" s="43"/>
      <c r="E430" s="173"/>
      <c r="F430" s="4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</row>
    <row r="431" spans="1:17" s="50" customFormat="1" ht="12.75" customHeight="1">
      <c r="A431" s="57"/>
      <c r="B431" s="51"/>
      <c r="C431" s="51"/>
      <c r="D431" s="52"/>
      <c r="E431" s="203"/>
      <c r="F431" s="52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</row>
    <row r="435" spans="1:7" ht="12.75" customHeight="1">
      <c r="A435" s="83"/>
      <c r="B435" s="85"/>
      <c r="C435" s="85"/>
      <c r="D435" s="85"/>
      <c r="E435" s="212"/>
      <c r="F435" s="85"/>
      <c r="G435" s="85"/>
    </row>
    <row r="438" spans="1:7" ht="12.75" customHeight="1">
      <c r="A438" s="50"/>
      <c r="B438" s="50"/>
      <c r="C438" s="50"/>
      <c r="D438" s="50"/>
      <c r="E438" s="211"/>
      <c r="F438" s="50"/>
      <c r="G438" s="50"/>
    </row>
    <row r="439" spans="1:7" ht="12.75" customHeight="1">
      <c r="A439" s="50"/>
    </row>
    <row r="440" spans="1:7" ht="12.75" customHeight="1">
      <c r="A440" s="50"/>
      <c r="B440" s="50"/>
      <c r="C440" s="50"/>
      <c r="D440" s="50"/>
      <c r="E440" s="211"/>
      <c r="F440" s="50"/>
      <c r="G440" s="50"/>
    </row>
    <row r="446" spans="1:7" ht="12.75" customHeight="1">
      <c r="A446" s="50"/>
      <c r="B446" s="84"/>
      <c r="C446" s="84"/>
      <c r="D446" s="84"/>
      <c r="E446" s="210"/>
      <c r="F446" s="84"/>
      <c r="G446" s="84"/>
    </row>
    <row r="448" spans="1:7" ht="12.75" customHeight="1">
      <c r="A448" s="50"/>
      <c r="B448" s="50"/>
      <c r="C448" s="50"/>
      <c r="D448" s="50"/>
      <c r="E448" s="211"/>
      <c r="F448" s="50"/>
      <c r="G448" s="50"/>
    </row>
    <row r="453" spans="1:7" ht="12.75" customHeight="1">
      <c r="A453" s="83"/>
      <c r="B453" s="84"/>
      <c r="C453" s="84"/>
      <c r="D453" s="84"/>
      <c r="E453" s="210"/>
      <c r="F453" s="84"/>
      <c r="G453" s="84"/>
    </row>
    <row r="455" spans="1:7" ht="12.75" customHeight="1">
      <c r="A455" s="50"/>
      <c r="B455" s="50"/>
      <c r="C455" s="50"/>
      <c r="D455" s="50"/>
      <c r="E455" s="211"/>
      <c r="F455" s="50"/>
      <c r="G455" s="50"/>
    </row>
    <row r="460" spans="1:7" ht="12.75" customHeight="1">
      <c r="A460" s="83"/>
      <c r="B460" s="84"/>
      <c r="C460" s="84"/>
      <c r="D460" s="84"/>
      <c r="E460" s="210"/>
      <c r="F460" s="84"/>
      <c r="G460" s="84"/>
    </row>
    <row r="462" spans="1:7" ht="12.75" customHeight="1">
      <c r="A462" s="50"/>
      <c r="B462" s="50"/>
      <c r="C462" s="50"/>
      <c r="D462" s="50"/>
      <c r="E462" s="211"/>
      <c r="F462" s="50"/>
      <c r="G462" s="50"/>
    </row>
    <row r="467" spans="1:7" ht="12.75" customHeight="1">
      <c r="A467" s="83"/>
      <c r="B467" s="84"/>
      <c r="C467" s="84"/>
      <c r="D467" s="84"/>
      <c r="E467" s="210"/>
      <c r="F467" s="84"/>
      <c r="G467" s="84"/>
    </row>
    <row r="469" spans="1:7" ht="12.75" customHeight="1">
      <c r="A469" s="50"/>
      <c r="B469" s="50"/>
      <c r="C469" s="50"/>
      <c r="D469" s="50"/>
      <c r="E469" s="211"/>
      <c r="F469" s="50"/>
      <c r="G469" s="50"/>
    </row>
    <row r="475" spans="1:7" ht="12.75" customHeight="1">
      <c r="A475" s="83"/>
      <c r="B475" s="85"/>
      <c r="C475" s="85"/>
      <c r="D475" s="85"/>
      <c r="E475" s="212"/>
      <c r="F475" s="85"/>
      <c r="G475" s="85"/>
    </row>
    <row r="478" spans="1:7" ht="12.75" customHeight="1">
      <c r="A478" s="50"/>
      <c r="B478" s="50"/>
      <c r="C478" s="50"/>
      <c r="D478" s="50"/>
      <c r="E478" s="211"/>
      <c r="F478" s="50"/>
      <c r="G478" s="50"/>
    </row>
    <row r="479" spans="1:7" ht="12.75" customHeight="1">
      <c r="A479" s="50"/>
    </row>
    <row r="480" spans="1:7" ht="12.75" customHeight="1">
      <c r="A480" s="50"/>
      <c r="B480" s="50"/>
      <c r="C480" s="50"/>
      <c r="D480" s="50"/>
      <c r="E480" s="211"/>
      <c r="F480" s="50"/>
      <c r="G480" s="50"/>
    </row>
    <row r="486" spans="1:7" ht="12.75" customHeight="1">
      <c r="A486" s="50"/>
      <c r="B486" s="84"/>
      <c r="C486" s="84"/>
      <c r="D486" s="84"/>
      <c r="E486" s="210"/>
      <c r="F486" s="84"/>
      <c r="G486" s="84"/>
    </row>
    <row r="488" spans="1:7" ht="12.75" customHeight="1">
      <c r="A488" s="50"/>
      <c r="B488" s="50"/>
      <c r="C488" s="50"/>
      <c r="D488" s="50"/>
      <c r="E488" s="211"/>
      <c r="F488" s="50"/>
      <c r="G488" s="50"/>
    </row>
    <row r="493" spans="1:7" ht="12.75" customHeight="1">
      <c r="A493" s="83"/>
      <c r="B493" s="84"/>
      <c r="C493" s="84"/>
      <c r="D493" s="84"/>
      <c r="E493" s="210"/>
      <c r="F493" s="84"/>
      <c r="G493" s="84"/>
    </row>
    <row r="495" spans="1:7" ht="12.75" customHeight="1">
      <c r="A495" s="50"/>
      <c r="B495" s="50"/>
      <c r="C495" s="50"/>
      <c r="D495" s="50"/>
      <c r="E495" s="211"/>
      <c r="F495" s="50"/>
      <c r="G495" s="50"/>
    </row>
    <row r="500" spans="1:7" ht="12.75" customHeight="1">
      <c r="A500" s="83"/>
      <c r="B500" s="84"/>
      <c r="C500" s="84"/>
      <c r="D500" s="84"/>
      <c r="E500" s="210"/>
      <c r="F500" s="84"/>
      <c r="G500" s="84"/>
    </row>
    <row r="502" spans="1:7" ht="12.75" customHeight="1">
      <c r="A502" s="50"/>
      <c r="B502" s="50"/>
      <c r="C502" s="50"/>
      <c r="D502" s="50"/>
      <c r="E502" s="211"/>
      <c r="F502" s="50"/>
      <c r="G502" s="50"/>
    </row>
    <row r="507" spans="1:7" ht="12.75" customHeight="1">
      <c r="A507" s="83"/>
      <c r="B507" s="84"/>
      <c r="C507" s="84"/>
      <c r="D507" s="84"/>
      <c r="E507" s="210"/>
      <c r="F507" s="84"/>
      <c r="G507" s="84"/>
    </row>
    <row r="509" spans="1:7" ht="12.75" customHeight="1">
      <c r="A509" s="50"/>
      <c r="B509" s="50"/>
      <c r="C509" s="50"/>
      <c r="D509" s="50"/>
      <c r="E509" s="211"/>
      <c r="F509" s="50"/>
      <c r="G509" s="50"/>
    </row>
    <row r="515" spans="1:7" ht="12.75" customHeight="1">
      <c r="A515" s="83"/>
      <c r="B515" s="85"/>
      <c r="C515" s="85"/>
      <c r="D515" s="85"/>
      <c r="E515" s="212"/>
      <c r="F515" s="85"/>
      <c r="G515" s="85"/>
    </row>
    <row r="518" spans="1:7" ht="12.75" customHeight="1">
      <c r="A518" s="50"/>
      <c r="B518" s="50"/>
      <c r="C518" s="50"/>
      <c r="D518" s="50"/>
      <c r="E518" s="211"/>
      <c r="F518" s="50"/>
      <c r="G518" s="50"/>
    </row>
    <row r="519" spans="1:7" ht="12.75" customHeight="1">
      <c r="A519" s="50"/>
    </row>
    <row r="520" spans="1:7" ht="12.75" customHeight="1">
      <c r="A520" s="50"/>
      <c r="B520" s="50"/>
      <c r="C520" s="50"/>
      <c r="D520" s="50"/>
      <c r="E520" s="211"/>
      <c r="F520" s="50"/>
      <c r="G520" s="50"/>
    </row>
    <row r="526" spans="1:7" ht="12.75" customHeight="1">
      <c r="A526" s="50"/>
      <c r="B526" s="84"/>
      <c r="C526" s="84"/>
      <c r="D526" s="84"/>
      <c r="E526" s="210"/>
      <c r="F526" s="84"/>
      <c r="G526" s="84"/>
    </row>
    <row r="528" spans="1:7" ht="12.75" customHeight="1">
      <c r="A528" s="50"/>
      <c r="B528" s="50"/>
      <c r="C528" s="50"/>
      <c r="D528" s="50"/>
      <c r="E528" s="211"/>
      <c r="F528" s="50"/>
      <c r="G528" s="50"/>
    </row>
    <row r="533" spans="1:7" ht="12.75" customHeight="1">
      <c r="A533" s="83"/>
      <c r="B533" s="84"/>
      <c r="C533" s="84"/>
      <c r="D533" s="84"/>
      <c r="E533" s="210"/>
      <c r="F533" s="84"/>
      <c r="G533" s="84"/>
    </row>
    <row r="535" spans="1:7" ht="12.75" customHeight="1">
      <c r="A535" s="50"/>
      <c r="B535" s="50"/>
      <c r="C535" s="50"/>
      <c r="D535" s="50"/>
      <c r="E535" s="211"/>
      <c r="F535" s="50"/>
      <c r="G535" s="50"/>
    </row>
    <row r="540" spans="1:7" ht="12.75" customHeight="1">
      <c r="A540" s="83"/>
      <c r="B540" s="84"/>
      <c r="C540" s="84"/>
      <c r="D540" s="84"/>
      <c r="E540" s="210"/>
      <c r="F540" s="84"/>
      <c r="G540" s="84"/>
    </row>
    <row r="542" spans="1:7" ht="12.75" customHeight="1">
      <c r="A542" s="50"/>
      <c r="B542" s="50"/>
      <c r="C542" s="50"/>
      <c r="D542" s="50"/>
      <c r="E542" s="211"/>
      <c r="F542" s="50"/>
      <c r="G542" s="50"/>
    </row>
    <row r="547" spans="1:7" ht="12.75" customHeight="1">
      <c r="A547" s="83"/>
      <c r="B547" s="84"/>
      <c r="C547" s="84"/>
      <c r="D547" s="84"/>
      <c r="E547" s="210"/>
      <c r="F547" s="84"/>
      <c r="G547" s="84"/>
    </row>
    <row r="549" spans="1:7" ht="12.75" customHeight="1">
      <c r="A549" s="50"/>
      <c r="B549" s="50"/>
      <c r="C549" s="50"/>
      <c r="D549" s="50"/>
      <c r="E549" s="211"/>
      <c r="F549" s="50"/>
      <c r="G549" s="50"/>
    </row>
    <row r="555" spans="1:7" ht="12.75" customHeight="1">
      <c r="A555" s="83"/>
      <c r="B555" s="85"/>
      <c r="C555" s="85"/>
      <c r="D555" s="85"/>
      <c r="E555" s="212"/>
      <c r="F555" s="85"/>
      <c r="G555" s="85"/>
    </row>
    <row r="558" spans="1:7" ht="12.75" customHeight="1">
      <c r="A558" s="50"/>
      <c r="B558" s="50"/>
      <c r="C558" s="50"/>
      <c r="D558" s="50"/>
      <c r="E558" s="211"/>
      <c r="F558" s="50"/>
      <c r="G558" s="50"/>
    </row>
    <row r="559" spans="1:7" ht="12.75" customHeight="1">
      <c r="A559" s="50"/>
    </row>
    <row r="560" spans="1:7" ht="12.75" customHeight="1">
      <c r="A560" s="50"/>
      <c r="B560" s="50"/>
      <c r="C560" s="50"/>
      <c r="D560" s="50"/>
      <c r="E560" s="211"/>
      <c r="F560" s="50"/>
      <c r="G560" s="50"/>
    </row>
    <row r="566" spans="1:7" ht="12.75" customHeight="1">
      <c r="A566" s="50"/>
      <c r="B566" s="84"/>
      <c r="C566" s="84"/>
      <c r="D566" s="84"/>
      <c r="E566" s="210"/>
      <c r="F566" s="84"/>
      <c r="G566" s="84"/>
    </row>
    <row r="568" spans="1:7" ht="12.75" customHeight="1">
      <c r="A568" s="50"/>
      <c r="B568" s="50"/>
      <c r="C568" s="50"/>
      <c r="D568" s="50"/>
      <c r="E568" s="211"/>
      <c r="F568" s="50"/>
      <c r="G568" s="50"/>
    </row>
    <row r="573" spans="1:7" ht="12.75" customHeight="1">
      <c r="A573" s="83"/>
      <c r="B573" s="84"/>
      <c r="C573" s="84"/>
      <c r="D573" s="84"/>
      <c r="E573" s="210"/>
      <c r="F573" s="84"/>
      <c r="G573" s="84"/>
    </row>
    <row r="575" spans="1:7" ht="12.75" customHeight="1">
      <c r="A575" s="50"/>
      <c r="B575" s="50"/>
      <c r="C575" s="50"/>
      <c r="D575" s="50"/>
      <c r="E575" s="211"/>
      <c r="F575" s="50"/>
      <c r="G575" s="50"/>
    </row>
    <row r="580" spans="1:7" ht="12.75" customHeight="1">
      <c r="A580" s="83"/>
      <c r="B580" s="84"/>
      <c r="C580" s="84"/>
      <c r="D580" s="84"/>
      <c r="E580" s="210"/>
      <c r="F580" s="84"/>
      <c r="G580" s="84"/>
    </row>
    <row r="582" spans="1:7" ht="12.75" customHeight="1">
      <c r="A582" s="50"/>
      <c r="B582" s="50"/>
      <c r="C582" s="50"/>
      <c r="D582" s="50"/>
      <c r="E582" s="211"/>
      <c r="F582" s="50"/>
      <c r="G582" s="50"/>
    </row>
    <row r="587" spans="1:7" ht="12.75" customHeight="1">
      <c r="A587" s="83"/>
      <c r="B587" s="84"/>
      <c r="C587" s="84"/>
      <c r="D587" s="84"/>
      <c r="E587" s="210"/>
      <c r="F587" s="84"/>
      <c r="G587" s="84"/>
    </row>
    <row r="589" spans="1:7" ht="12.75" customHeight="1">
      <c r="A589" s="50"/>
      <c r="B589" s="50"/>
      <c r="C589" s="50"/>
      <c r="D589" s="50"/>
      <c r="E589" s="211"/>
      <c r="F589" s="50"/>
      <c r="G589" s="50"/>
    </row>
    <row r="595" spans="1:7" ht="12.75" customHeight="1">
      <c r="A595" s="83"/>
      <c r="B595" s="85"/>
      <c r="C595" s="85"/>
      <c r="D595" s="85"/>
      <c r="E595" s="212"/>
      <c r="F595" s="85"/>
      <c r="G595" s="85"/>
    </row>
    <row r="597" spans="1:7" ht="12.75" customHeight="1">
      <c r="A597" s="50"/>
    </row>
    <row r="598" spans="1:7" ht="12.75" customHeight="1">
      <c r="A598" s="50"/>
      <c r="B598" s="50"/>
      <c r="C598" s="50"/>
      <c r="D598" s="50"/>
      <c r="E598" s="211"/>
      <c r="F598" s="50"/>
      <c r="G598" s="50"/>
    </row>
    <row r="599" spans="1:7" ht="12.75" customHeight="1">
      <c r="A599" s="50"/>
    </row>
    <row r="600" spans="1:7" ht="12.75" customHeight="1">
      <c r="A600" s="50"/>
      <c r="B600" s="50"/>
      <c r="C600" s="50"/>
      <c r="D600" s="50"/>
      <c r="E600" s="211"/>
      <c r="F600" s="50"/>
      <c r="G600" s="50"/>
    </row>
    <row r="606" spans="1:7" ht="12.75" customHeight="1">
      <c r="A606" s="50"/>
      <c r="B606" s="84"/>
      <c r="C606" s="84"/>
      <c r="D606" s="84"/>
      <c r="E606" s="210"/>
      <c r="F606" s="84"/>
      <c r="G606" s="84"/>
    </row>
    <row r="608" spans="1:7" ht="12.75" customHeight="1">
      <c r="A608" s="50"/>
      <c r="B608" s="50"/>
      <c r="C608" s="50"/>
      <c r="D608" s="50"/>
      <c r="E608" s="211"/>
      <c r="F608" s="50"/>
      <c r="G608" s="50"/>
    </row>
    <row r="613" spans="1:7" ht="12.75" customHeight="1">
      <c r="A613" s="83"/>
      <c r="B613" s="84"/>
      <c r="C613" s="84"/>
      <c r="D613" s="84"/>
      <c r="E613" s="210"/>
      <c r="F613" s="84"/>
      <c r="G613" s="84"/>
    </row>
    <row r="615" spans="1:7" ht="12.75" customHeight="1">
      <c r="A615" s="50"/>
      <c r="B615" s="50"/>
      <c r="C615" s="50"/>
      <c r="D615" s="50"/>
      <c r="E615" s="211"/>
      <c r="F615" s="50"/>
      <c r="G615" s="50"/>
    </row>
    <row r="620" spans="1:7" ht="12.75" customHeight="1">
      <c r="A620" s="83"/>
      <c r="B620" s="84"/>
      <c r="C620" s="84"/>
      <c r="D620" s="84"/>
      <c r="E620" s="210"/>
      <c r="F620" s="84"/>
      <c r="G620" s="84"/>
    </row>
    <row r="622" spans="1:7" ht="12.75" customHeight="1">
      <c r="A622" s="50"/>
      <c r="B622" s="50"/>
      <c r="C622" s="50"/>
      <c r="D622" s="50"/>
      <c r="E622" s="211"/>
      <c r="F622" s="50"/>
      <c r="G622" s="50"/>
    </row>
    <row r="627" spans="1:7" ht="12.75" customHeight="1">
      <c r="A627" s="83"/>
      <c r="B627" s="84"/>
      <c r="C627" s="84"/>
      <c r="D627" s="84"/>
      <c r="E627" s="210"/>
      <c r="F627" s="84"/>
      <c r="G627" s="84"/>
    </row>
    <row r="629" spans="1:7" ht="12.75" customHeight="1">
      <c r="A629" s="50"/>
      <c r="B629" s="50"/>
      <c r="C629" s="50"/>
      <c r="D629" s="50"/>
      <c r="E629" s="211"/>
      <c r="F629" s="50"/>
      <c r="G629" s="50"/>
    </row>
    <row r="635" spans="1:7" ht="12.75" customHeight="1">
      <c r="A635" s="83"/>
      <c r="B635" s="85"/>
      <c r="C635" s="85"/>
      <c r="D635" s="85"/>
      <c r="E635" s="212"/>
      <c r="F635" s="85"/>
      <c r="G635" s="85"/>
    </row>
    <row r="639" spans="1:7" ht="12.75" customHeight="1">
      <c r="B639" s="178"/>
      <c r="C639" s="178"/>
      <c r="D639" s="178"/>
      <c r="E639" s="216"/>
      <c r="F639" s="178"/>
      <c r="G639" s="178"/>
    </row>
    <row r="640" spans="1:7" ht="12.75" customHeight="1">
      <c r="A640" s="50"/>
    </row>
    <row r="641" spans="1:7" ht="12.75" customHeight="1">
      <c r="A641" s="179"/>
      <c r="B641" s="178"/>
      <c r="C641" s="178"/>
      <c r="D641" s="178"/>
      <c r="E641" s="216"/>
      <c r="F641" s="178"/>
      <c r="G641" s="178"/>
    </row>
    <row r="647" spans="1:7" ht="12.75" customHeight="1">
      <c r="A647" s="50"/>
      <c r="B647" s="84"/>
      <c r="C647" s="84"/>
      <c r="D647" s="84"/>
      <c r="E647" s="210"/>
      <c r="F647" s="84"/>
      <c r="G647" s="84"/>
    </row>
    <row r="649" spans="1:7" ht="12.75" customHeight="1">
      <c r="A649" s="179"/>
      <c r="B649" s="178"/>
      <c r="C649" s="178"/>
      <c r="D649" s="178"/>
      <c r="E649" s="216"/>
      <c r="F649" s="178"/>
      <c r="G649" s="178"/>
    </row>
    <row r="654" spans="1:7" ht="12.75" customHeight="1">
      <c r="A654" s="83"/>
      <c r="B654" s="84"/>
      <c r="C654" s="84"/>
      <c r="D654" s="84"/>
      <c r="E654" s="210"/>
      <c r="F654" s="84"/>
      <c r="G654" s="84"/>
    </row>
    <row r="656" spans="1:7" ht="12.75" customHeight="1">
      <c r="A656" s="179"/>
      <c r="B656" s="178"/>
      <c r="C656" s="178"/>
      <c r="D656" s="178"/>
      <c r="E656" s="216"/>
      <c r="F656" s="178"/>
      <c r="G656" s="178"/>
    </row>
    <row r="661" spans="1:7" ht="12.75" customHeight="1">
      <c r="A661" s="83"/>
      <c r="B661" s="84"/>
      <c r="C661" s="84"/>
      <c r="D661" s="84"/>
      <c r="E661" s="210"/>
      <c r="F661" s="84"/>
      <c r="G661" s="84"/>
    </row>
    <row r="663" spans="1:7" ht="12.75" customHeight="1">
      <c r="A663" s="179"/>
      <c r="B663" s="178"/>
      <c r="C663" s="178"/>
      <c r="D663" s="178"/>
      <c r="E663" s="216"/>
      <c r="F663" s="178"/>
      <c r="G663" s="178"/>
    </row>
    <row r="668" spans="1:7" ht="12.75" customHeight="1">
      <c r="A668" s="83"/>
      <c r="B668" s="84"/>
      <c r="C668" s="84"/>
      <c r="D668" s="84"/>
      <c r="E668" s="210"/>
      <c r="F668" s="84"/>
      <c r="G668" s="84"/>
    </row>
    <row r="670" spans="1:7" ht="12.75" customHeight="1">
      <c r="A670" s="179"/>
      <c r="B670" s="178"/>
      <c r="C670" s="178"/>
      <c r="D670" s="178"/>
      <c r="E670" s="216"/>
      <c r="F670" s="178"/>
      <c r="G670" s="178"/>
    </row>
    <row r="676" spans="1:7" ht="12.75" customHeight="1">
      <c r="A676" s="83"/>
      <c r="B676" s="85"/>
      <c r="C676" s="85"/>
      <c r="D676" s="85"/>
      <c r="E676" s="212"/>
      <c r="F676" s="85"/>
      <c r="G676" s="85"/>
    </row>
    <row r="679" spans="1:7" ht="12.75" customHeight="1">
      <c r="B679" s="178"/>
      <c r="C679" s="178"/>
      <c r="D679" s="178"/>
      <c r="E679" s="216"/>
      <c r="F679" s="178"/>
      <c r="G679" s="178"/>
    </row>
    <row r="680" spans="1:7" ht="12.75" customHeight="1">
      <c r="A680" s="50"/>
    </row>
    <row r="681" spans="1:7" ht="12.75" customHeight="1">
      <c r="A681" s="138"/>
      <c r="B681" s="178"/>
      <c r="C681" s="178"/>
      <c r="D681" s="178"/>
      <c r="E681" s="216"/>
      <c r="F681" s="178"/>
      <c r="G681" s="178"/>
    </row>
    <row r="687" spans="1:7" ht="12.75" customHeight="1">
      <c r="A687" s="50"/>
      <c r="B687" s="84"/>
      <c r="C687" s="84"/>
      <c r="D687" s="84"/>
      <c r="E687" s="210"/>
      <c r="F687" s="84"/>
      <c r="G687" s="84"/>
    </row>
    <row r="689" spans="1:7" ht="12.75" customHeight="1">
      <c r="A689" s="138"/>
      <c r="B689" s="178"/>
      <c r="C689" s="178"/>
      <c r="D689" s="178"/>
      <c r="E689" s="216"/>
      <c r="F689" s="178"/>
      <c r="G689" s="178"/>
    </row>
    <row r="694" spans="1:7" ht="12.75" customHeight="1">
      <c r="A694" s="83"/>
      <c r="B694" s="84"/>
      <c r="C694" s="84"/>
      <c r="D694" s="84"/>
      <c r="E694" s="210"/>
      <c r="F694" s="84"/>
      <c r="G694" s="84"/>
    </row>
    <row r="696" spans="1:7" ht="12.75" customHeight="1">
      <c r="A696" s="179"/>
      <c r="B696" s="178"/>
      <c r="C696" s="178"/>
      <c r="D696" s="178"/>
      <c r="E696" s="216"/>
      <c r="F696" s="178"/>
      <c r="G696" s="178"/>
    </row>
    <row r="701" spans="1:7" ht="12.75" customHeight="1">
      <c r="A701" s="83"/>
      <c r="B701" s="84"/>
      <c r="C701" s="84"/>
      <c r="D701" s="84"/>
      <c r="E701" s="210"/>
      <c r="F701" s="84"/>
      <c r="G701" s="84"/>
    </row>
    <row r="703" spans="1:7" ht="12.75" customHeight="1">
      <c r="A703" s="138"/>
      <c r="B703" s="178"/>
      <c r="C703" s="178"/>
      <c r="D703" s="178"/>
      <c r="E703" s="216"/>
      <c r="F703" s="178"/>
      <c r="G703" s="178"/>
    </row>
    <row r="708" spans="1:7" ht="12.75" customHeight="1">
      <c r="A708" s="83"/>
      <c r="B708" s="84"/>
      <c r="C708" s="84"/>
      <c r="D708" s="84"/>
      <c r="E708" s="210"/>
      <c r="F708" s="84"/>
      <c r="G708" s="84"/>
    </row>
    <row r="710" spans="1:7" ht="12.75" customHeight="1">
      <c r="A710" s="179"/>
      <c r="B710" s="178"/>
      <c r="C710" s="178"/>
      <c r="D710" s="178"/>
      <c r="E710" s="216"/>
      <c r="F710" s="178"/>
      <c r="G710" s="178"/>
    </row>
    <row r="716" spans="1:7" ht="12.75" customHeight="1">
      <c r="A716" s="83"/>
      <c r="B716" s="85"/>
      <c r="C716" s="85"/>
      <c r="D716" s="85"/>
      <c r="E716" s="212"/>
      <c r="F716" s="85"/>
      <c r="G716" s="85"/>
    </row>
    <row r="719" spans="1:7" ht="12.75" customHeight="1">
      <c r="B719" s="178"/>
      <c r="C719" s="178"/>
      <c r="D719" s="178"/>
      <c r="E719" s="216"/>
      <c r="F719" s="178"/>
      <c r="G719" s="178"/>
    </row>
    <row r="720" spans="1:7" ht="12.75" customHeight="1">
      <c r="A720" s="50"/>
    </row>
    <row r="721" spans="1:7" ht="12.75" customHeight="1">
      <c r="A721" s="138"/>
      <c r="B721" s="178"/>
      <c r="C721" s="178"/>
      <c r="D721" s="178"/>
      <c r="E721" s="216"/>
      <c r="F721" s="178"/>
      <c r="G721" s="178"/>
    </row>
    <row r="727" spans="1:7" ht="12.75" customHeight="1">
      <c r="A727" s="50"/>
      <c r="B727" s="84"/>
      <c r="C727" s="84"/>
      <c r="D727" s="84"/>
      <c r="E727" s="210"/>
      <c r="F727" s="84"/>
      <c r="G727" s="84"/>
    </row>
    <row r="729" spans="1:7" ht="12.75" customHeight="1">
      <c r="A729" s="179"/>
      <c r="B729" s="178"/>
      <c r="C729" s="178"/>
      <c r="D729" s="178"/>
      <c r="E729" s="216"/>
      <c r="F729" s="178"/>
      <c r="G729" s="178"/>
    </row>
    <row r="734" spans="1:7" ht="12.75" customHeight="1">
      <c r="A734" s="83"/>
      <c r="B734" s="84"/>
      <c r="C734" s="84"/>
      <c r="D734" s="84"/>
      <c r="E734" s="210"/>
      <c r="F734" s="84"/>
      <c r="G734" s="84"/>
    </row>
    <row r="736" spans="1:7" ht="12.75" customHeight="1">
      <c r="A736" s="179"/>
      <c r="B736" s="178"/>
      <c r="C736" s="178"/>
      <c r="D736" s="178"/>
      <c r="E736" s="216"/>
      <c r="F736" s="178"/>
      <c r="G736" s="178"/>
    </row>
    <row r="741" spans="1:7" ht="12.75" customHeight="1">
      <c r="A741" s="83"/>
      <c r="B741" s="84"/>
      <c r="C741" s="84"/>
      <c r="D741" s="84"/>
      <c r="E741" s="210"/>
      <c r="F741" s="84"/>
      <c r="G741" s="84"/>
    </row>
    <row r="743" spans="1:7" ht="12.75" customHeight="1">
      <c r="A743" s="179"/>
      <c r="B743" s="178"/>
      <c r="C743" s="178"/>
      <c r="D743" s="178"/>
      <c r="E743" s="216"/>
      <c r="F743" s="178"/>
      <c r="G743" s="178"/>
    </row>
    <row r="748" spans="1:7" ht="12.75" customHeight="1">
      <c r="A748" s="83"/>
      <c r="B748" s="84"/>
      <c r="C748" s="84"/>
      <c r="D748" s="84"/>
      <c r="E748" s="210"/>
      <c r="F748" s="84"/>
      <c r="G748" s="84"/>
    </row>
    <row r="750" spans="1:7" ht="12.75" customHeight="1">
      <c r="A750" s="179"/>
      <c r="B750" s="178"/>
      <c r="C750" s="178"/>
      <c r="D750" s="178"/>
      <c r="E750" s="216"/>
      <c r="F750" s="178"/>
      <c r="G750" s="178"/>
    </row>
    <row r="756" spans="1:7" ht="12.75" customHeight="1">
      <c r="A756" s="83"/>
      <c r="B756" s="85"/>
      <c r="C756" s="85"/>
      <c r="D756" s="85"/>
      <c r="E756" s="212"/>
      <c r="F756" s="85"/>
      <c r="G756" s="85"/>
    </row>
    <row r="759" spans="1:7" ht="12.75" customHeight="1">
      <c r="B759" s="178"/>
      <c r="C759" s="178"/>
      <c r="D759" s="178"/>
      <c r="E759" s="216"/>
      <c r="F759" s="178"/>
      <c r="G759" s="178"/>
    </row>
    <row r="760" spans="1:7" ht="12.75" customHeight="1">
      <c r="A760" s="50"/>
    </row>
    <row r="761" spans="1:7" ht="12.75" customHeight="1">
      <c r="A761" s="138"/>
      <c r="B761" s="178"/>
      <c r="C761" s="178"/>
      <c r="D761" s="178"/>
      <c r="E761" s="216"/>
      <c r="F761" s="178"/>
      <c r="G761" s="178"/>
    </row>
    <row r="767" spans="1:7" ht="12.75" customHeight="1">
      <c r="A767" s="50"/>
      <c r="B767" s="84"/>
      <c r="C767" s="84"/>
      <c r="D767" s="84"/>
      <c r="E767" s="210"/>
      <c r="F767" s="84"/>
      <c r="G767" s="84"/>
    </row>
    <row r="769" spans="1:7" ht="12.75" customHeight="1">
      <c r="A769" s="179"/>
      <c r="B769" s="178"/>
      <c r="C769" s="178"/>
      <c r="D769" s="178"/>
      <c r="E769" s="216"/>
      <c r="F769" s="178"/>
      <c r="G769" s="178"/>
    </row>
    <row r="774" spans="1:7" ht="12.75" customHeight="1">
      <c r="A774" s="83"/>
      <c r="B774" s="84"/>
      <c r="C774" s="84"/>
      <c r="D774" s="84"/>
      <c r="E774" s="210"/>
      <c r="F774" s="84"/>
      <c r="G774" s="84"/>
    </row>
    <row r="776" spans="1:7" ht="12.75" customHeight="1">
      <c r="A776" s="179"/>
      <c r="B776" s="178"/>
      <c r="C776" s="178"/>
      <c r="D776" s="178"/>
      <c r="E776" s="216"/>
      <c r="F776" s="178"/>
      <c r="G776" s="178"/>
    </row>
    <row r="781" spans="1:7" ht="12.75" customHeight="1">
      <c r="A781" s="83"/>
      <c r="B781" s="84"/>
      <c r="C781" s="84"/>
      <c r="D781" s="84"/>
      <c r="E781" s="210"/>
      <c r="F781" s="84"/>
      <c r="G781" s="84"/>
    </row>
    <row r="783" spans="1:7" ht="12.75" customHeight="1">
      <c r="A783" s="179"/>
      <c r="B783" s="178"/>
      <c r="C783" s="178"/>
      <c r="D783" s="178"/>
      <c r="E783" s="216"/>
      <c r="F783" s="178"/>
      <c r="G783" s="178"/>
    </row>
    <row r="788" spans="1:7" ht="12.75" customHeight="1">
      <c r="A788" s="83"/>
      <c r="B788" s="84"/>
      <c r="C788" s="84"/>
      <c r="D788" s="84"/>
      <c r="E788" s="210"/>
      <c r="F788" s="84"/>
      <c r="G788" s="84"/>
    </row>
    <row r="790" spans="1:7" ht="12.75" customHeight="1">
      <c r="A790" s="179"/>
      <c r="B790" s="178"/>
      <c r="C790" s="178"/>
      <c r="D790" s="178"/>
      <c r="E790" s="216"/>
      <c r="F790" s="178"/>
      <c r="G790" s="178"/>
    </row>
    <row r="796" spans="1:7" ht="12.75" customHeight="1">
      <c r="A796" s="83"/>
      <c r="B796" s="85"/>
      <c r="C796" s="85"/>
      <c r="D796" s="85"/>
      <c r="E796" s="212"/>
      <c r="F796" s="85"/>
      <c r="G796" s="85"/>
    </row>
    <row r="798" spans="1:7" ht="12.75" customHeight="1">
      <c r="A798" s="50"/>
    </row>
    <row r="799" spans="1:7" ht="12.75" customHeight="1">
      <c r="B799" s="178"/>
      <c r="C799" s="178"/>
      <c r="D799" s="178"/>
      <c r="E799" s="216"/>
      <c r="F799" s="178"/>
      <c r="G799" s="178"/>
    </row>
    <row r="800" spans="1:7" ht="12.75" customHeight="1">
      <c r="A800" s="50"/>
    </row>
    <row r="801" spans="1:7" ht="12.75" customHeight="1">
      <c r="A801" s="138"/>
      <c r="B801" s="178"/>
      <c r="C801" s="178"/>
      <c r="D801" s="178"/>
      <c r="E801" s="216"/>
      <c r="F801" s="178"/>
      <c r="G801" s="178"/>
    </row>
    <row r="807" spans="1:7" ht="12.75" customHeight="1">
      <c r="A807" s="50"/>
      <c r="B807" s="84"/>
      <c r="C807" s="84"/>
      <c r="D807" s="84"/>
      <c r="E807" s="210"/>
      <c r="F807" s="84"/>
      <c r="G807" s="84"/>
    </row>
    <row r="809" spans="1:7" ht="12.75" customHeight="1">
      <c r="A809" s="179"/>
      <c r="B809" s="178"/>
      <c r="C809" s="178"/>
      <c r="D809" s="178"/>
      <c r="E809" s="216"/>
      <c r="F809" s="178"/>
      <c r="G809" s="178"/>
    </row>
    <row r="814" spans="1:7" ht="12.75" customHeight="1">
      <c r="A814" s="83"/>
      <c r="B814" s="84"/>
      <c r="C814" s="84"/>
      <c r="D814" s="84"/>
      <c r="E814" s="210"/>
      <c r="F814" s="84"/>
      <c r="G814" s="84"/>
    </row>
    <row r="816" spans="1:7" ht="12.75" customHeight="1">
      <c r="A816" s="179"/>
      <c r="B816" s="178"/>
      <c r="C816" s="178"/>
      <c r="D816" s="178"/>
      <c r="E816" s="216"/>
      <c r="F816" s="178"/>
      <c r="G816" s="178"/>
    </row>
    <row r="821" spans="1:7" ht="12.75" customHeight="1">
      <c r="A821" s="83"/>
      <c r="B821" s="84"/>
      <c r="C821" s="84"/>
      <c r="D821" s="84"/>
      <c r="E821" s="210"/>
      <c r="F821" s="84"/>
      <c r="G821" s="84"/>
    </row>
    <row r="823" spans="1:7" ht="12.75" customHeight="1">
      <c r="A823" s="179"/>
      <c r="B823" s="178"/>
      <c r="C823" s="178"/>
      <c r="D823" s="178"/>
      <c r="E823" s="216"/>
      <c r="F823" s="178"/>
      <c r="G823" s="178"/>
    </row>
    <row r="828" spans="1:7" ht="12.75" customHeight="1">
      <c r="A828" s="83"/>
      <c r="B828" s="84"/>
      <c r="C828" s="84"/>
      <c r="D828" s="84"/>
      <c r="E828" s="210"/>
      <c r="F828" s="84"/>
      <c r="G828" s="84"/>
    </row>
    <row r="830" spans="1:7" ht="12.75" customHeight="1">
      <c r="A830" s="179"/>
      <c r="B830" s="178"/>
      <c r="C830" s="178"/>
      <c r="D830" s="178"/>
      <c r="E830" s="216"/>
      <c r="F830" s="178"/>
      <c r="G830" s="178"/>
    </row>
    <row r="836" spans="1:7" ht="12.75" customHeight="1">
      <c r="A836" s="83"/>
      <c r="B836" s="85"/>
      <c r="C836" s="85"/>
      <c r="D836" s="85"/>
      <c r="E836" s="212"/>
      <c r="F836" s="85"/>
      <c r="G836" s="85"/>
    </row>
    <row r="839" spans="1:7" ht="12.75" customHeight="1">
      <c r="B839" s="178"/>
      <c r="C839" s="178"/>
      <c r="D839" s="178"/>
      <c r="E839" s="216"/>
      <c r="F839" s="178"/>
      <c r="G839" s="178"/>
    </row>
    <row r="840" spans="1:7" ht="12.75" customHeight="1">
      <c r="A840" s="50"/>
    </row>
    <row r="841" spans="1:7" ht="12.75" customHeight="1">
      <c r="A841" s="138"/>
      <c r="B841" s="178"/>
      <c r="C841" s="178"/>
      <c r="D841" s="178"/>
      <c r="E841" s="216"/>
      <c r="F841" s="178"/>
      <c r="G841" s="178"/>
    </row>
    <row r="847" spans="1:7" ht="12.75" customHeight="1">
      <c r="A847" s="50"/>
      <c r="B847" s="84"/>
      <c r="C847" s="84"/>
      <c r="D847" s="84"/>
      <c r="E847" s="210"/>
      <c r="F847" s="84"/>
      <c r="G847" s="84"/>
    </row>
    <row r="849" spans="1:7" ht="12.75" customHeight="1">
      <c r="A849" s="179"/>
      <c r="B849" s="178"/>
      <c r="C849" s="178"/>
      <c r="D849" s="178"/>
      <c r="E849" s="216"/>
      <c r="F849" s="178"/>
      <c r="G849" s="178"/>
    </row>
    <row r="854" spans="1:7" ht="12.75" customHeight="1">
      <c r="A854" s="83"/>
      <c r="B854" s="84"/>
      <c r="C854" s="84"/>
      <c r="D854" s="84"/>
      <c r="E854" s="210"/>
      <c r="F854" s="84"/>
      <c r="G854" s="84"/>
    </row>
    <row r="856" spans="1:7" ht="12.75" customHeight="1">
      <c r="A856" s="179"/>
      <c r="B856" s="178"/>
      <c r="C856" s="178"/>
      <c r="D856" s="178"/>
      <c r="E856" s="216"/>
      <c r="F856" s="178"/>
      <c r="G856" s="178"/>
    </row>
    <row r="861" spans="1:7" ht="12.75" customHeight="1">
      <c r="A861" s="83"/>
      <c r="B861" s="84"/>
      <c r="C861" s="84"/>
      <c r="D861" s="84"/>
      <c r="E861" s="210"/>
      <c r="F861" s="84"/>
      <c r="G861" s="84"/>
    </row>
    <row r="863" spans="1:7" ht="12.75" customHeight="1">
      <c r="A863" s="179"/>
      <c r="B863" s="178"/>
      <c r="C863" s="178"/>
      <c r="D863" s="178"/>
      <c r="E863" s="216"/>
      <c r="F863" s="178"/>
      <c r="G863" s="178"/>
    </row>
    <row r="868" spans="1:7" ht="12.75" customHeight="1">
      <c r="A868" s="83"/>
      <c r="B868" s="84"/>
      <c r="C868" s="84"/>
      <c r="D868" s="84"/>
      <c r="E868" s="210"/>
      <c r="F868" s="84"/>
      <c r="G868" s="84"/>
    </row>
    <row r="870" spans="1:7" ht="12.75" customHeight="1">
      <c r="A870" s="179"/>
      <c r="B870" s="178"/>
      <c r="C870" s="178"/>
      <c r="D870" s="178"/>
      <c r="E870" s="216"/>
      <c r="F870" s="178"/>
      <c r="G870" s="178"/>
    </row>
    <row r="876" spans="1:7" ht="12.75" customHeight="1">
      <c r="A876" s="83"/>
      <c r="B876" s="85"/>
      <c r="C876" s="85"/>
      <c r="D876" s="85"/>
      <c r="E876" s="212"/>
      <c r="F876" s="85"/>
      <c r="G876" s="85"/>
    </row>
    <row r="879" spans="1:7" ht="12.75" customHeight="1">
      <c r="B879" s="178"/>
      <c r="C879" s="178"/>
      <c r="D879" s="178"/>
      <c r="E879" s="216"/>
      <c r="F879" s="178"/>
      <c r="G879" s="178"/>
    </row>
    <row r="880" spans="1:7" ht="12.75" customHeight="1">
      <c r="A880" s="50"/>
    </row>
    <row r="881" spans="1:7" ht="12.75" customHeight="1">
      <c r="A881" s="138"/>
      <c r="B881" s="178"/>
      <c r="C881" s="178"/>
      <c r="D881" s="178"/>
      <c r="E881" s="216"/>
      <c r="F881" s="178"/>
      <c r="G881" s="178"/>
    </row>
    <row r="887" spans="1:7" ht="12.75" customHeight="1">
      <c r="A887" s="50"/>
      <c r="B887" s="84"/>
      <c r="C887" s="84"/>
      <c r="D887" s="84"/>
      <c r="E887" s="210"/>
      <c r="F887" s="84"/>
      <c r="G887" s="84"/>
    </row>
    <row r="889" spans="1:7" ht="12.75" customHeight="1">
      <c r="A889" s="179"/>
      <c r="B889" s="178"/>
      <c r="C889" s="178"/>
      <c r="D889" s="178"/>
      <c r="E889" s="216"/>
      <c r="F889" s="178"/>
      <c r="G889" s="178"/>
    </row>
    <row r="894" spans="1:7" ht="12.75" customHeight="1">
      <c r="A894" s="83"/>
      <c r="B894" s="84"/>
      <c r="C894" s="84"/>
      <c r="D894" s="84"/>
      <c r="E894" s="210"/>
      <c r="F894" s="84"/>
      <c r="G894" s="84"/>
    </row>
    <row r="896" spans="1:7" ht="12.75" customHeight="1">
      <c r="A896" s="179"/>
      <c r="B896" s="178"/>
      <c r="C896" s="178"/>
      <c r="D896" s="178"/>
      <c r="E896" s="216"/>
      <c r="F896" s="178"/>
      <c r="G896" s="178"/>
    </row>
    <row r="901" spans="1:7" ht="12.75" customHeight="1">
      <c r="A901" s="83"/>
      <c r="B901" s="84"/>
      <c r="C901" s="84"/>
      <c r="D901" s="84"/>
      <c r="E901" s="210"/>
      <c r="F901" s="84"/>
      <c r="G901" s="84"/>
    </row>
    <row r="903" spans="1:7" ht="12.75" customHeight="1">
      <c r="A903" s="179"/>
      <c r="B903" s="178"/>
      <c r="C903" s="178"/>
      <c r="D903" s="178"/>
      <c r="E903" s="216"/>
      <c r="F903" s="178"/>
      <c r="G903" s="178"/>
    </row>
    <row r="908" spans="1:7" ht="12.75" customHeight="1">
      <c r="A908" s="83"/>
      <c r="B908" s="84"/>
      <c r="C908" s="84"/>
      <c r="D908" s="84"/>
      <c r="E908" s="210"/>
      <c r="F908" s="84"/>
      <c r="G908" s="84"/>
    </row>
    <row r="910" spans="1:7" ht="12.75" customHeight="1">
      <c r="A910" s="179"/>
      <c r="B910" s="178"/>
      <c r="C910" s="178"/>
      <c r="D910" s="178"/>
      <c r="E910" s="216"/>
      <c r="F910" s="178"/>
      <c r="G910" s="178"/>
    </row>
    <row r="916" spans="1:7" ht="12.75" customHeight="1">
      <c r="A916" s="83"/>
      <c r="B916" s="85"/>
      <c r="C916" s="85"/>
      <c r="D916" s="85"/>
      <c r="E916" s="212"/>
      <c r="F916" s="85"/>
      <c r="G916" s="85"/>
    </row>
    <row r="919" spans="1:7" ht="12.75" customHeight="1">
      <c r="B919" s="178"/>
      <c r="C919" s="178"/>
      <c r="D919" s="178"/>
      <c r="E919" s="216"/>
      <c r="F919" s="178"/>
      <c r="G919" s="178"/>
    </row>
    <row r="920" spans="1:7" ht="12.75" customHeight="1">
      <c r="A920" s="50"/>
    </row>
    <row r="921" spans="1:7" ht="12.75" customHeight="1">
      <c r="A921" s="138"/>
      <c r="B921" s="178"/>
      <c r="C921" s="178"/>
      <c r="D921" s="178"/>
      <c r="E921" s="216"/>
      <c r="F921" s="178"/>
      <c r="G921" s="178"/>
    </row>
    <row r="927" spans="1:7" ht="12.75" customHeight="1">
      <c r="A927" s="50"/>
      <c r="B927" s="84"/>
      <c r="C927" s="84"/>
      <c r="D927" s="84"/>
      <c r="E927" s="210"/>
      <c r="F927" s="84"/>
      <c r="G927" s="84"/>
    </row>
    <row r="929" spans="1:7" ht="12.75" customHeight="1">
      <c r="A929" s="179"/>
      <c r="B929" s="178"/>
      <c r="C929" s="178"/>
      <c r="D929" s="178"/>
      <c r="E929" s="216"/>
      <c r="F929" s="178"/>
      <c r="G929" s="178"/>
    </row>
    <row r="934" spans="1:7" ht="12.75" customHeight="1">
      <c r="A934" s="83"/>
      <c r="B934" s="84"/>
      <c r="C934" s="84"/>
      <c r="D934" s="84"/>
      <c r="E934" s="210"/>
      <c r="F934" s="84"/>
      <c r="G934" s="84"/>
    </row>
    <row r="936" spans="1:7" ht="12.75" customHeight="1">
      <c r="A936" s="179"/>
      <c r="B936" s="178"/>
      <c r="C936" s="178"/>
      <c r="D936" s="178"/>
      <c r="E936" s="216"/>
      <c r="F936" s="178"/>
      <c r="G936" s="178"/>
    </row>
    <row r="941" spans="1:7" ht="12.75" customHeight="1">
      <c r="A941" s="83"/>
      <c r="B941" s="84"/>
      <c r="C941" s="84"/>
      <c r="D941" s="84"/>
      <c r="E941" s="210"/>
      <c r="F941" s="84"/>
      <c r="G941" s="84"/>
    </row>
    <row r="943" spans="1:7" ht="12.75" customHeight="1">
      <c r="A943" s="179"/>
      <c r="B943" s="178"/>
      <c r="C943" s="178"/>
      <c r="D943" s="178"/>
      <c r="E943" s="216"/>
      <c r="F943" s="178"/>
      <c r="G943" s="178"/>
    </row>
    <row r="948" spans="1:7" ht="12.75" customHeight="1">
      <c r="A948" s="83"/>
      <c r="B948" s="84"/>
      <c r="C948" s="84"/>
      <c r="D948" s="84"/>
      <c r="E948" s="210"/>
      <c r="F948" s="84"/>
      <c r="G948" s="84"/>
    </row>
    <row r="950" spans="1:7" ht="12.75" customHeight="1">
      <c r="A950" s="179"/>
      <c r="B950" s="178"/>
      <c r="C950" s="178"/>
      <c r="D950" s="178"/>
      <c r="E950" s="216"/>
      <c r="F950" s="178"/>
      <c r="G950" s="178"/>
    </row>
    <row r="956" spans="1:7" ht="12.75" customHeight="1">
      <c r="A956" s="83"/>
      <c r="B956" s="85"/>
      <c r="C956" s="85"/>
      <c r="D956" s="85"/>
      <c r="E956" s="212"/>
      <c r="F956" s="85"/>
      <c r="G956" s="85"/>
    </row>
    <row r="959" spans="1:7" ht="12.75" customHeight="1">
      <c r="B959" s="178"/>
      <c r="C959" s="178"/>
      <c r="D959" s="178"/>
      <c r="E959" s="216"/>
      <c r="F959" s="178"/>
      <c r="G959" s="178"/>
    </row>
    <row r="960" spans="1:7" ht="12.75" customHeight="1">
      <c r="A960" s="50"/>
    </row>
    <row r="961" spans="1:7" ht="12.75" customHeight="1">
      <c r="A961" s="138"/>
      <c r="B961" s="178"/>
      <c r="C961" s="178"/>
      <c r="D961" s="178"/>
      <c r="E961" s="216"/>
      <c r="F961" s="178"/>
      <c r="G961" s="178"/>
    </row>
    <row r="967" spans="1:7" ht="12.75" customHeight="1">
      <c r="A967" s="50"/>
      <c r="B967" s="84"/>
      <c r="C967" s="84"/>
      <c r="D967" s="84"/>
      <c r="E967" s="210"/>
      <c r="F967" s="84"/>
      <c r="G967" s="84"/>
    </row>
    <row r="969" spans="1:7" ht="12.75" customHeight="1">
      <c r="A969" s="179"/>
      <c r="B969" s="178"/>
      <c r="C969" s="178"/>
      <c r="D969" s="178"/>
      <c r="E969" s="216"/>
      <c r="F969" s="178"/>
      <c r="G969" s="178"/>
    </row>
    <row r="974" spans="1:7" ht="12.75" customHeight="1">
      <c r="A974" s="83"/>
      <c r="B974" s="84"/>
      <c r="C974" s="84"/>
      <c r="D974" s="84"/>
      <c r="E974" s="210"/>
      <c r="F974" s="84"/>
      <c r="G974" s="84"/>
    </row>
    <row r="976" spans="1:7" ht="12.75" customHeight="1">
      <c r="A976" s="179"/>
      <c r="B976" s="178"/>
      <c r="C976" s="178"/>
      <c r="D976" s="178"/>
      <c r="E976" s="216"/>
      <c r="F976" s="178"/>
      <c r="G976" s="178"/>
    </row>
    <row r="981" spans="1:7" ht="12.75" customHeight="1">
      <c r="A981" s="83"/>
      <c r="B981" s="84"/>
      <c r="C981" s="84"/>
      <c r="D981" s="84"/>
      <c r="E981" s="210"/>
      <c r="F981" s="84"/>
      <c r="G981" s="84"/>
    </row>
    <row r="983" spans="1:7" ht="12.75" customHeight="1">
      <c r="A983" s="179"/>
      <c r="B983" s="178"/>
      <c r="C983" s="178"/>
      <c r="D983" s="178"/>
      <c r="E983" s="216"/>
      <c r="F983" s="178"/>
      <c r="G983" s="178"/>
    </row>
    <row r="988" spans="1:7" ht="12.75" customHeight="1">
      <c r="A988" s="83"/>
      <c r="B988" s="84"/>
      <c r="C988" s="84"/>
      <c r="D988" s="84"/>
      <c r="E988" s="210"/>
      <c r="F988" s="84"/>
      <c r="G988" s="84"/>
    </row>
    <row r="990" spans="1:7" ht="12.75" customHeight="1">
      <c r="A990" s="179"/>
      <c r="B990" s="178"/>
      <c r="C990" s="178"/>
      <c r="D990" s="178"/>
      <c r="E990" s="216"/>
      <c r="F990" s="178"/>
      <c r="G990" s="178"/>
    </row>
    <row r="996" spans="1:7" ht="12.75" customHeight="1">
      <c r="A996" s="83"/>
      <c r="B996" s="85"/>
      <c r="C996" s="85"/>
      <c r="D996" s="85"/>
      <c r="E996" s="212"/>
      <c r="F996" s="85"/>
      <c r="G996" s="85"/>
    </row>
    <row r="998" spans="1:7" ht="12.75" customHeight="1">
      <c r="A998" s="50"/>
    </row>
    <row r="999" spans="1:7" ht="12.75" customHeight="1">
      <c r="B999" s="178"/>
      <c r="C999" s="178"/>
      <c r="D999" s="178"/>
      <c r="E999" s="216"/>
      <c r="F999" s="178"/>
      <c r="G999" s="178"/>
    </row>
    <row r="1000" spans="1:7" ht="12.75" customHeight="1">
      <c r="A1000" s="50"/>
    </row>
    <row r="1001" spans="1:7" ht="12.75" customHeight="1">
      <c r="A1001" s="138"/>
      <c r="B1001" s="178"/>
      <c r="C1001" s="178"/>
      <c r="D1001" s="178"/>
      <c r="E1001" s="216"/>
      <c r="F1001" s="178"/>
      <c r="G1001" s="178"/>
    </row>
    <row r="1007" spans="1:7" ht="12.75" customHeight="1">
      <c r="A1007" s="50"/>
      <c r="B1007" s="84"/>
      <c r="C1007" s="84"/>
      <c r="D1007" s="84"/>
      <c r="E1007" s="210"/>
      <c r="F1007" s="84"/>
      <c r="G1007" s="84"/>
    </row>
    <row r="1009" spans="1:7" ht="12.75" customHeight="1">
      <c r="A1009" s="179"/>
      <c r="B1009" s="178"/>
      <c r="C1009" s="178"/>
      <c r="D1009" s="178"/>
      <c r="E1009" s="216"/>
      <c r="F1009" s="178"/>
      <c r="G1009" s="178"/>
    </row>
    <row r="1014" spans="1:7" ht="12.75" customHeight="1">
      <c r="A1014" s="83"/>
      <c r="B1014" s="84"/>
      <c r="C1014" s="84"/>
      <c r="D1014" s="84"/>
      <c r="E1014" s="210"/>
      <c r="F1014" s="84"/>
      <c r="G1014" s="84"/>
    </row>
    <row r="1016" spans="1:7" ht="12.75" customHeight="1">
      <c r="A1016" s="179"/>
      <c r="B1016" s="178"/>
      <c r="C1016" s="178"/>
      <c r="D1016" s="178"/>
      <c r="E1016" s="216"/>
      <c r="F1016" s="178"/>
      <c r="G1016" s="178"/>
    </row>
    <row r="1021" spans="1:7" ht="12.75" customHeight="1">
      <c r="A1021" s="83"/>
      <c r="B1021" s="84"/>
      <c r="C1021" s="84"/>
      <c r="D1021" s="84"/>
      <c r="E1021" s="210"/>
      <c r="F1021" s="84"/>
      <c r="G1021" s="84"/>
    </row>
    <row r="1023" spans="1:7" ht="12.75" customHeight="1">
      <c r="A1023" s="179"/>
      <c r="B1023" s="178"/>
      <c r="C1023" s="178"/>
      <c r="D1023" s="178"/>
      <c r="E1023" s="216"/>
      <c r="F1023" s="178"/>
      <c r="G1023" s="178"/>
    </row>
    <row r="1028" spans="1:7" ht="12.75" customHeight="1">
      <c r="A1028" s="83"/>
      <c r="B1028" s="84"/>
      <c r="C1028" s="84"/>
      <c r="D1028" s="84"/>
      <c r="E1028" s="210"/>
      <c r="F1028" s="84"/>
      <c r="G1028" s="84"/>
    </row>
    <row r="1030" spans="1:7" ht="12.75" customHeight="1">
      <c r="A1030" s="179"/>
      <c r="B1030" s="178"/>
      <c r="C1030" s="178"/>
      <c r="D1030" s="178"/>
      <c r="E1030" s="216"/>
      <c r="F1030" s="178"/>
      <c r="G1030" s="178"/>
    </row>
    <row r="1036" spans="1:7" ht="12.75" customHeight="1">
      <c r="A1036" s="83"/>
      <c r="B1036" s="85"/>
      <c r="C1036" s="85"/>
      <c r="D1036" s="85"/>
      <c r="E1036" s="212"/>
      <c r="F1036" s="85"/>
      <c r="G1036" s="85"/>
    </row>
    <row r="1039" spans="1:7" ht="12.75" customHeight="1">
      <c r="B1039" s="178"/>
      <c r="C1039" s="178"/>
      <c r="D1039" s="178"/>
      <c r="E1039" s="216"/>
      <c r="F1039" s="178"/>
      <c r="G1039" s="178"/>
    </row>
    <row r="1040" spans="1:7" ht="12.75" customHeight="1">
      <c r="A1040" s="50"/>
    </row>
    <row r="1041" spans="1:7" ht="12.75" customHeight="1">
      <c r="A1041" s="179"/>
      <c r="B1041" s="178"/>
      <c r="C1041" s="178"/>
      <c r="D1041" s="178"/>
      <c r="E1041" s="216"/>
      <c r="F1041" s="178"/>
      <c r="G1041" s="178"/>
    </row>
    <row r="1047" spans="1:7" ht="12.75" customHeight="1">
      <c r="A1047" s="50"/>
      <c r="B1047" s="84"/>
      <c r="C1047" s="84"/>
      <c r="D1047" s="84"/>
      <c r="E1047" s="210"/>
      <c r="F1047" s="84"/>
      <c r="G1047" s="84"/>
    </row>
    <row r="1049" spans="1:7" ht="12.75" customHeight="1">
      <c r="A1049" s="179"/>
      <c r="B1049" s="178"/>
      <c r="C1049" s="178"/>
      <c r="D1049" s="178"/>
      <c r="E1049" s="216"/>
      <c r="F1049" s="178"/>
      <c r="G1049" s="178"/>
    </row>
    <row r="1054" spans="1:7" ht="12.75" customHeight="1">
      <c r="A1054" s="83"/>
      <c r="B1054" s="84"/>
      <c r="C1054" s="84"/>
      <c r="D1054" s="84"/>
      <c r="E1054" s="210"/>
      <c r="F1054" s="84"/>
      <c r="G1054" s="84"/>
    </row>
    <row r="1056" spans="1:7" ht="12.75" customHeight="1">
      <c r="A1056" s="179"/>
      <c r="B1056" s="178"/>
      <c r="C1056" s="178"/>
      <c r="D1056" s="178"/>
      <c r="E1056" s="216"/>
      <c r="F1056" s="178"/>
      <c r="G1056" s="178"/>
    </row>
    <row r="1061" spans="1:7" ht="12.75" customHeight="1">
      <c r="A1061" s="83"/>
      <c r="B1061" s="84"/>
      <c r="C1061" s="84"/>
      <c r="D1061" s="84"/>
      <c r="E1061" s="210"/>
      <c r="F1061" s="84"/>
      <c r="G1061" s="84"/>
    </row>
    <row r="1063" spans="1:7" ht="12.75" customHeight="1">
      <c r="A1063" s="179"/>
      <c r="B1063" s="178"/>
      <c r="C1063" s="178"/>
      <c r="D1063" s="178"/>
      <c r="E1063" s="216"/>
      <c r="F1063" s="178"/>
      <c r="G1063" s="178"/>
    </row>
    <row r="1068" spans="1:7" ht="12.75" customHeight="1">
      <c r="A1068" s="83"/>
      <c r="B1068" s="84"/>
      <c r="C1068" s="84"/>
      <c r="D1068" s="84"/>
      <c r="E1068" s="210"/>
      <c r="F1068" s="84"/>
      <c r="G1068" s="84"/>
    </row>
    <row r="1070" spans="1:7" ht="12.75" customHeight="1">
      <c r="A1070" s="179"/>
      <c r="B1070" s="178"/>
      <c r="C1070" s="178"/>
      <c r="D1070" s="178"/>
      <c r="E1070" s="216"/>
      <c r="F1070" s="178"/>
      <c r="G1070" s="178"/>
    </row>
    <row r="1076" spans="1:7" ht="12.75" customHeight="1">
      <c r="A1076" s="83"/>
      <c r="B1076" s="85"/>
      <c r="C1076" s="85"/>
      <c r="D1076" s="85"/>
      <c r="E1076" s="212"/>
      <c r="F1076" s="85"/>
      <c r="G1076" s="85"/>
    </row>
  </sheetData>
  <customSheetViews>
    <customSheetView guid="{AE6F0488-1842-4C89-B05F-A836B633FB8F}" scale="75" showPageBreaks="1" hiddenColumns="1" showRuler="0">
      <pane xSplit="1" ySplit="3" topLeftCell="B16" activePane="bottomRight" state="frozen"/>
      <selection pane="bottomRight" activeCell="F20" sqref="F20"/>
      <rowBreaks count="4" manualBreakCount="4">
        <brk id="49" max="16" man="1"/>
        <brk id="94" max="17" man="1"/>
        <brk id="138" max="16" man="1"/>
        <brk id="183" max="16" man="1"/>
      </rowBreaks>
      <pageMargins left="0.17" right="0.16" top="0.91" bottom="0.9" header="0.4" footer="0.35"/>
      <pageSetup paperSize="5" scale="70" firstPageNumber="30" orientation="landscape" useFirstPageNumber="1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C4" sqref="C4"/>
      <rowBreaks count="4" manualBreakCount="4">
        <brk id="49" max="16" man="1"/>
        <brk id="94" max="17" man="1"/>
        <brk id="138" max="16" man="1"/>
        <brk id="183" max="16" man="1"/>
      </rowBreaks>
      <pageMargins left="0.17" right="0.16" top="0.91" bottom="0.9" header="0.4" footer="0.35"/>
      <pageSetup paperSize="5" scale="70" firstPageNumber="30" orientation="landscape" useFirstPageNumber="1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19" activePane="bottomRight" state="frozen"/>
      <selection pane="bottomRight" activeCell="E26" sqref="E26"/>
      <rowBreaks count="4" manualBreakCount="4">
        <brk id="49" max="16" man="1"/>
        <brk id="94" max="17" man="1"/>
        <brk id="138" max="16" man="1"/>
        <brk id="183" max="16" man="1"/>
      </rowBreaks>
      <pageMargins left="0.17" right="0.16" top="0.91" bottom="0.9" header="0.4" footer="0.35"/>
      <pageSetup paperSize="5" scale="70" firstPageNumber="30" orientation="landscape" useFirstPageNumber="1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8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5" manualBreakCount="5">
    <brk id="34" max="16" man="1"/>
    <brk id="71" max="16" man="1"/>
    <brk id="122" max="16" man="1"/>
    <brk id="170" max="16" man="1"/>
    <brk id="220" max="16" man="1"/>
  </rowBreaks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79998168889431442"/>
    <pageSetUpPr fitToPage="1"/>
  </sheetPr>
  <dimension ref="A1:Y418"/>
  <sheetViews>
    <sheetView view="pageBreakPreview" zoomScale="86" zoomScaleNormal="82" zoomScaleSheetLayoutView="86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2.75"/>
  <cols>
    <col min="1" max="1" width="30.42578125" style="49" customWidth="1"/>
    <col min="2" max="2" width="13.5703125" style="82" customWidth="1"/>
    <col min="3" max="3" width="12.42578125" style="82" customWidth="1"/>
    <col min="4" max="4" width="12.140625" style="82" customWidth="1"/>
    <col min="5" max="5" width="12.140625" style="209" hidden="1" customWidth="1"/>
    <col min="6" max="6" width="18.140625" style="82" customWidth="1"/>
    <col min="7" max="7" width="15.42578125" style="82" customWidth="1"/>
    <col min="8" max="8" width="17.7109375" style="49" customWidth="1"/>
    <col min="9" max="11" width="15.42578125" style="49" customWidth="1"/>
    <col min="12" max="12" width="19.42578125" style="49" bestFit="1" customWidth="1"/>
    <col min="13" max="13" width="15.42578125" style="49" customWidth="1"/>
    <col min="14" max="14" width="16.7109375" style="49" bestFit="1" customWidth="1"/>
    <col min="15" max="15" width="13.28515625" style="49" customWidth="1"/>
    <col min="16" max="16" width="12.85546875" style="49" customWidth="1"/>
    <col min="17" max="17" width="21" style="49" customWidth="1"/>
    <col min="18" max="18" width="9.140625" style="49"/>
    <col min="19" max="19" width="12" style="49" customWidth="1"/>
    <col min="20" max="20" width="12.7109375" style="49" bestFit="1" customWidth="1"/>
    <col min="21" max="21" width="13.140625" style="49" customWidth="1"/>
    <col min="22" max="22" width="14.140625" style="49" customWidth="1"/>
    <col min="23" max="23" width="17.28515625" style="49" customWidth="1"/>
    <col min="24" max="24" width="15.85546875" style="49" customWidth="1"/>
    <col min="25" max="16384" width="9.140625" style="49"/>
  </cols>
  <sheetData>
    <row r="1" spans="1:25" ht="15.75" customHeight="1">
      <c r="A1" s="1" t="s">
        <v>100</v>
      </c>
      <c r="B1" s="48"/>
      <c r="C1" s="48"/>
      <c r="D1" s="43"/>
      <c r="E1" s="17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ht="15.75" customHeight="1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79.5" customHeight="1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43"/>
      <c r="C4" s="51"/>
      <c r="D4" s="52"/>
      <c r="E4" s="203"/>
      <c r="F4" s="5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25">
      <c r="A5" s="54" t="s">
        <v>10</v>
      </c>
      <c r="B5" s="51"/>
      <c r="C5" s="51"/>
      <c r="D5" s="52"/>
      <c r="E5" s="203"/>
      <c r="F5" s="5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25">
      <c r="A6" s="50"/>
      <c r="B6" s="51"/>
      <c r="C6" s="51"/>
      <c r="D6" s="52"/>
      <c r="E6" s="203"/>
      <c r="F6" s="5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25">
      <c r="A7" s="47" t="str">
        <f>A14</f>
        <v>STATE OF NEVADA</v>
      </c>
      <c r="B7" s="48">
        <f t="shared" ref="B7:Q7" si="0">B23</f>
        <v>0.17</v>
      </c>
      <c r="C7" s="48">
        <f t="shared" si="0"/>
        <v>0</v>
      </c>
      <c r="D7" s="43">
        <f>D23</f>
        <v>2577</v>
      </c>
      <c r="E7" s="173"/>
      <c r="F7" s="43">
        <f t="shared" si="0"/>
        <v>193544496.6788235</v>
      </c>
      <c r="G7" s="53">
        <f t="shared" si="0"/>
        <v>121411.66309999999</v>
      </c>
      <c r="H7" s="53">
        <f t="shared" si="0"/>
        <v>207820.85820000002</v>
      </c>
      <c r="I7" s="53">
        <f t="shared" si="0"/>
        <v>0</v>
      </c>
      <c r="J7" s="53">
        <f t="shared" si="0"/>
        <v>57852.83</v>
      </c>
      <c r="K7" s="53">
        <f t="shared" si="0"/>
        <v>0</v>
      </c>
      <c r="L7" s="53">
        <f t="shared" si="0"/>
        <v>271379.69130000001</v>
      </c>
      <c r="M7" s="53">
        <f t="shared" si="0"/>
        <v>2701.71</v>
      </c>
      <c r="N7" s="53">
        <f t="shared" si="0"/>
        <v>268677.98129999998</v>
      </c>
      <c r="O7" s="53">
        <f t="shared" si="0"/>
        <v>0</v>
      </c>
      <c r="P7" s="53">
        <f>P23</f>
        <v>0</v>
      </c>
      <c r="Q7" s="53">
        <f t="shared" si="0"/>
        <v>268677.98129999998</v>
      </c>
      <c r="W7" s="174" t="s">
        <v>15</v>
      </c>
      <c r="X7" s="284">
        <f>Q16+Q37+Q56</f>
        <v>2739908.88</v>
      </c>
      <c r="Y7" s="390" t="s">
        <v>461</v>
      </c>
    </row>
    <row r="8" spans="1:25">
      <c r="A8" s="49" t="str">
        <f>A26</f>
        <v>GENERAL COUNTY</v>
      </c>
      <c r="B8" s="48">
        <f t="shared" ref="B8:Q8" si="1">B44</f>
        <v>2.1990999999999996</v>
      </c>
      <c r="C8" s="48">
        <f t="shared" si="1"/>
        <v>0</v>
      </c>
      <c r="D8" s="43">
        <f t="shared" si="1"/>
        <v>2577</v>
      </c>
      <c r="E8" s="173"/>
      <c r="F8" s="43">
        <f t="shared" si="1"/>
        <v>192855034.70514253</v>
      </c>
      <c r="G8" s="53">
        <f t="shared" si="1"/>
        <v>1570566.936213</v>
      </c>
      <c r="H8" s="53">
        <f t="shared" si="1"/>
        <v>2688424.7516860003</v>
      </c>
      <c r="I8" s="53">
        <f t="shared" si="1"/>
        <v>0</v>
      </c>
      <c r="J8" s="53">
        <f t="shared" si="1"/>
        <v>748377.55</v>
      </c>
      <c r="K8" s="53">
        <f t="shared" si="1"/>
        <v>0</v>
      </c>
      <c r="L8" s="53">
        <f t="shared" si="1"/>
        <v>3510614.1378989997</v>
      </c>
      <c r="M8" s="53">
        <f t="shared" si="1"/>
        <v>37822.300000000003</v>
      </c>
      <c r="N8" s="53">
        <f t="shared" si="1"/>
        <v>3472791.8378989999</v>
      </c>
      <c r="O8" s="53">
        <f t="shared" si="1"/>
        <v>0</v>
      </c>
      <c r="P8" s="53">
        <f>P44</f>
        <v>0</v>
      </c>
      <c r="Q8" s="53">
        <f t="shared" si="1"/>
        <v>3472791.8378989999</v>
      </c>
      <c r="W8" s="171" t="s">
        <v>16</v>
      </c>
      <c r="X8" s="284">
        <f>Q17+Q38+Q57</f>
        <v>309810.41181299998</v>
      </c>
    </row>
    <row r="9" spans="1:25">
      <c r="A9" s="47" t="str">
        <f>A54</f>
        <v>SCHOOL DISTRICT</v>
      </c>
      <c r="B9" s="48">
        <f t="shared" ref="B9:Q9" si="2">B77</f>
        <v>0.75</v>
      </c>
      <c r="C9" s="48">
        <f t="shared" si="2"/>
        <v>0</v>
      </c>
      <c r="D9" s="43">
        <f t="shared" si="2"/>
        <v>2577</v>
      </c>
      <c r="E9" s="173"/>
      <c r="F9" s="43">
        <f t="shared" si="2"/>
        <v>193347153.73999998</v>
      </c>
      <c r="G9" s="53">
        <f t="shared" si="2"/>
        <v>535639.6825</v>
      </c>
      <c r="H9" s="53">
        <f t="shared" si="2"/>
        <v>916885.255</v>
      </c>
      <c r="I9" s="53">
        <f t="shared" si="2"/>
        <v>0</v>
      </c>
      <c r="J9" s="53">
        <f t="shared" si="2"/>
        <v>255233.11</v>
      </c>
      <c r="K9" s="53">
        <f t="shared" si="2"/>
        <v>0</v>
      </c>
      <c r="L9" s="53">
        <f t="shared" si="2"/>
        <v>1197291.8274999999</v>
      </c>
      <c r="M9" s="53">
        <f t="shared" si="2"/>
        <v>11920.400000000001</v>
      </c>
      <c r="N9" s="53">
        <f t="shared" si="2"/>
        <v>1185371.4275</v>
      </c>
      <c r="O9" s="53">
        <f t="shared" si="2"/>
        <v>0</v>
      </c>
      <c r="P9" s="53">
        <f>P77</f>
        <v>0</v>
      </c>
      <c r="Q9" s="53">
        <f t="shared" si="2"/>
        <v>1185371.4275</v>
      </c>
      <c r="W9" s="171" t="s">
        <v>17</v>
      </c>
      <c r="X9" s="284">
        <f>Q18+Q39+Q58</f>
        <v>530906.56488599989</v>
      </c>
    </row>
    <row r="10" spans="1:25">
      <c r="A10" s="57"/>
      <c r="B10" s="51"/>
      <c r="C10" s="51"/>
      <c r="D10" s="52"/>
      <c r="E10" s="203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W10" s="171" t="s">
        <v>18</v>
      </c>
      <c r="X10" s="284"/>
    </row>
    <row r="11" spans="1:25" ht="13.5" thickBot="1">
      <c r="A11" s="57" t="s">
        <v>14</v>
      </c>
      <c r="B11" s="51"/>
      <c r="C11" s="51"/>
      <c r="D11" s="539">
        <f>D7</f>
        <v>2577</v>
      </c>
      <c r="E11" s="215"/>
      <c r="F11" s="539">
        <f>F7</f>
        <v>193544496.6788235</v>
      </c>
      <c r="G11" s="70">
        <f t="shared" ref="G11:Q11" si="3">SUM(G7:G9)</f>
        <v>2227618.2818129999</v>
      </c>
      <c r="H11" s="70">
        <f t="shared" si="3"/>
        <v>3813130.8648860003</v>
      </c>
      <c r="I11" s="70">
        <f t="shared" si="3"/>
        <v>0</v>
      </c>
      <c r="J11" s="70">
        <f t="shared" si="3"/>
        <v>1061463.49</v>
      </c>
      <c r="K11" s="70">
        <f t="shared" si="3"/>
        <v>0</v>
      </c>
      <c r="L11" s="70">
        <f t="shared" si="3"/>
        <v>4979285.6566989999</v>
      </c>
      <c r="M11" s="70">
        <f t="shared" si="3"/>
        <v>52444.41</v>
      </c>
      <c r="N11" s="70">
        <f t="shared" si="3"/>
        <v>4926841.2466989998</v>
      </c>
      <c r="O11" s="70">
        <f t="shared" si="3"/>
        <v>0</v>
      </c>
      <c r="P11" s="70">
        <f>SUM(P7:P9)</f>
        <v>0</v>
      </c>
      <c r="Q11" s="70">
        <f t="shared" si="3"/>
        <v>4926841.2466989998</v>
      </c>
      <c r="W11" s="285" t="s">
        <v>19</v>
      </c>
      <c r="X11" s="284">
        <f>Q20+Q41+Q60</f>
        <v>1211379.8600000003</v>
      </c>
      <c r="Y11" s="390" t="s">
        <v>461</v>
      </c>
    </row>
    <row r="12" spans="1:25" ht="13.5" thickBot="1">
      <c r="A12" s="60"/>
      <c r="B12" s="61"/>
      <c r="C12" s="61"/>
      <c r="D12" s="62"/>
      <c r="E12" s="215"/>
      <c r="F12" s="62"/>
      <c r="G12" s="62"/>
      <c r="H12" s="62"/>
      <c r="I12" s="62"/>
      <c r="J12" s="62"/>
      <c r="K12" s="62"/>
      <c r="L12" s="279" t="s">
        <v>388</v>
      </c>
      <c r="M12" s="280">
        <f>M11/L11</f>
        <v>1.0532516833904212E-2</v>
      </c>
      <c r="N12" s="62"/>
      <c r="O12" s="62"/>
      <c r="P12" s="62"/>
      <c r="Q12" s="62"/>
      <c r="W12" s="285" t="s">
        <v>20</v>
      </c>
      <c r="X12" s="284">
        <f>N21+Q42+Q61</f>
        <v>134835.52999999997</v>
      </c>
      <c r="Y12" s="390" t="s">
        <v>461</v>
      </c>
    </row>
    <row r="13" spans="1:25">
      <c r="A13" s="50"/>
      <c r="B13" s="51"/>
      <c r="C13" s="51"/>
      <c r="D13" s="52"/>
      <c r="E13" s="203"/>
      <c r="F13" s="5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W13" s="174"/>
      <c r="X13" s="284"/>
    </row>
    <row r="14" spans="1:25">
      <c r="A14" s="54" t="s">
        <v>11</v>
      </c>
      <c r="B14" s="51"/>
      <c r="C14" s="51"/>
      <c r="D14" s="52"/>
      <c r="E14" s="203"/>
      <c r="F14" s="52"/>
      <c r="G14" s="64">
        <f>G16/B16*100</f>
        <v>923652.9411764706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W14" s="174"/>
      <c r="X14" s="284">
        <f>Q23+Q44+Q63</f>
        <v>4926841.2466989998</v>
      </c>
    </row>
    <row r="15" spans="1:25">
      <c r="A15" s="47"/>
      <c r="B15" s="48"/>
      <c r="C15" s="48"/>
      <c r="D15" s="43"/>
      <c r="E15" s="65">
        <v>10856643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25">
      <c r="A16" s="49" t="s">
        <v>15</v>
      </c>
      <c r="B16" s="48">
        <v>0.17</v>
      </c>
      <c r="C16" s="48">
        <v>0</v>
      </c>
      <c r="D16" s="43">
        <v>2577</v>
      </c>
      <c r="E16" s="173">
        <f>G16/B16*100</f>
        <v>923652.9411764706</v>
      </c>
      <c r="F16" s="43">
        <v>88856162</v>
      </c>
      <c r="G16" s="53">
        <v>1570.21</v>
      </c>
      <c r="H16" s="53">
        <v>149593.97</v>
      </c>
      <c r="I16" s="53">
        <v>0</v>
      </c>
      <c r="J16" s="53">
        <v>115</v>
      </c>
      <c r="K16" s="53">
        <v>0</v>
      </c>
      <c r="L16" s="53">
        <f>G16+H16+I16-J16+K16</f>
        <v>151049.18</v>
      </c>
      <c r="M16" s="53">
        <v>1565.89</v>
      </c>
      <c r="N16" s="53">
        <f>L16-M16</f>
        <v>149483.28999999998</v>
      </c>
      <c r="O16" s="53">
        <v>0</v>
      </c>
      <c r="P16" s="53">
        <v>0</v>
      </c>
      <c r="Q16" s="53">
        <f>N16-O16-P16</f>
        <v>149483.28999999998</v>
      </c>
    </row>
    <row r="17" spans="1:22">
      <c r="A17" s="47" t="s">
        <v>16</v>
      </c>
      <c r="B17" s="48">
        <f>B$16</f>
        <v>0.17</v>
      </c>
      <c r="C17" s="48"/>
      <c r="D17" s="43"/>
      <c r="E17" s="173">
        <v>924573</v>
      </c>
      <c r="F17" s="65">
        <f>IF(E15&gt;E16,E15-E16,0)</f>
        <v>9932990.0588235296</v>
      </c>
      <c r="G17" s="53">
        <f>F17*(B17-C17)/100</f>
        <v>16886.0831</v>
      </c>
      <c r="H17" s="53"/>
      <c r="I17" s="53">
        <f>F17*C17/100</f>
        <v>0</v>
      </c>
      <c r="J17" s="53"/>
      <c r="K17" s="53"/>
      <c r="L17" s="53">
        <f>G17+H17+I17-J17+K17</f>
        <v>16886.0831</v>
      </c>
      <c r="M17" s="53"/>
      <c r="N17" s="53">
        <f>L17-M17</f>
        <v>16886.0831</v>
      </c>
      <c r="O17" s="53"/>
      <c r="P17" s="53"/>
      <c r="Q17" s="53">
        <f>N17-O17-P17</f>
        <v>16886.0831</v>
      </c>
    </row>
    <row r="18" spans="1:22">
      <c r="A18" s="47" t="s">
        <v>17</v>
      </c>
      <c r="B18" s="48">
        <f>B$16</f>
        <v>0.17</v>
      </c>
      <c r="C18" s="48"/>
      <c r="D18" s="43"/>
      <c r="E18" s="173"/>
      <c r="F18" s="66">
        <v>17021146</v>
      </c>
      <c r="G18" s="53"/>
      <c r="H18" s="53">
        <f>F18*(B18-C18)/100</f>
        <v>28935.948200000003</v>
      </c>
      <c r="I18" s="53">
        <f>F18*C18/100</f>
        <v>0</v>
      </c>
      <c r="J18" s="53">
        <v>0</v>
      </c>
      <c r="K18" s="53">
        <v>0</v>
      </c>
      <c r="L18" s="53">
        <f>G18+H18+I18-J18+K18</f>
        <v>28935.948200000003</v>
      </c>
      <c r="M18" s="53">
        <v>0</v>
      </c>
      <c r="N18" s="53">
        <f>L18-M18</f>
        <v>28935.948200000003</v>
      </c>
      <c r="O18" s="53">
        <v>0</v>
      </c>
      <c r="P18" s="53">
        <v>0</v>
      </c>
      <c r="Q18" s="53">
        <f>N18-O18-P18</f>
        <v>28935.948200000003</v>
      </c>
    </row>
    <row r="19" spans="1:22">
      <c r="A19" s="47" t="s">
        <v>18</v>
      </c>
      <c r="B19" s="48"/>
      <c r="C19" s="48"/>
      <c r="D19" s="43"/>
      <c r="E19" s="173"/>
      <c r="F19" s="4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</row>
    <row r="20" spans="1:22">
      <c r="A20" s="67" t="s">
        <v>19</v>
      </c>
      <c r="B20" s="48">
        <f>B$16</f>
        <v>0.17</v>
      </c>
      <c r="C20" s="48"/>
      <c r="D20" s="43"/>
      <c r="E20" s="173"/>
      <c r="F20" s="43">
        <v>73411300.890000001</v>
      </c>
      <c r="G20" s="53">
        <v>95609.62</v>
      </c>
      <c r="H20" s="53">
        <v>29287.759999999998</v>
      </c>
      <c r="I20" s="53">
        <f>F20*C20/100</f>
        <v>0</v>
      </c>
      <c r="J20" s="565">
        <v>57737.83</v>
      </c>
      <c r="K20" s="565"/>
      <c r="L20" s="53">
        <f>G20+H20+I20-J20+K20</f>
        <v>67159.549999999988</v>
      </c>
      <c r="M20" s="53">
        <v>1135.82</v>
      </c>
      <c r="N20" s="53">
        <f>L20-M20</f>
        <v>66023.729999999981</v>
      </c>
      <c r="O20" s="53">
        <v>0</v>
      </c>
      <c r="P20" s="53">
        <v>0</v>
      </c>
      <c r="Q20" s="53">
        <f>N20-O20-P20</f>
        <v>66023.729999999981</v>
      </c>
    </row>
    <row r="21" spans="1:22">
      <c r="A21" s="67" t="s">
        <v>20</v>
      </c>
      <c r="B21" s="48">
        <f>B$16</f>
        <v>0.17</v>
      </c>
      <c r="C21" s="48"/>
      <c r="D21" s="43"/>
      <c r="E21" s="173"/>
      <c r="F21" s="43">
        <v>4322897.7300000004</v>
      </c>
      <c r="G21" s="53">
        <v>7345.75</v>
      </c>
      <c r="H21" s="53">
        <v>3.18</v>
      </c>
      <c r="I21" s="53">
        <f>F21*C21/100</f>
        <v>0</v>
      </c>
      <c r="J21" s="53">
        <v>0</v>
      </c>
      <c r="K21" s="53">
        <v>0</v>
      </c>
      <c r="L21" s="53">
        <f>G21+H21+I21-J21+K21</f>
        <v>7348.93</v>
      </c>
      <c r="M21" s="53">
        <v>0</v>
      </c>
      <c r="N21" s="53">
        <f>L21-M21</f>
        <v>7348.93</v>
      </c>
      <c r="O21" s="53">
        <v>0</v>
      </c>
      <c r="P21" s="53">
        <v>0</v>
      </c>
      <c r="Q21" s="53">
        <f>N21-O21-P21</f>
        <v>7348.93</v>
      </c>
    </row>
    <row r="22" spans="1:22">
      <c r="A22" s="47"/>
      <c r="B22" s="48"/>
      <c r="C22" s="48"/>
      <c r="D22" s="43"/>
      <c r="E22" s="173"/>
      <c r="F22" s="4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22" s="50" customFormat="1" ht="13.5" thickBot="1">
      <c r="A23" s="57" t="str">
        <f>"TOTAL "&amp;A14</f>
        <v>TOTAL STATE OF NEVADA</v>
      </c>
      <c r="B23" s="68">
        <f>+B16</f>
        <v>0.17</v>
      </c>
      <c r="C23" s="68">
        <f>C16</f>
        <v>0</v>
      </c>
      <c r="D23" s="69">
        <f t="shared" ref="D23:Q23" si="4">SUM(D16:D18,D20:D21)</f>
        <v>2577</v>
      </c>
      <c r="E23" s="204"/>
      <c r="F23" s="69">
        <f t="shared" si="4"/>
        <v>193544496.6788235</v>
      </c>
      <c r="G23" s="70">
        <f t="shared" si="4"/>
        <v>121411.66309999999</v>
      </c>
      <c r="H23" s="70">
        <f t="shared" si="4"/>
        <v>207820.85820000002</v>
      </c>
      <c r="I23" s="70">
        <f t="shared" si="4"/>
        <v>0</v>
      </c>
      <c r="J23" s="70">
        <f t="shared" si="4"/>
        <v>57852.83</v>
      </c>
      <c r="K23" s="70">
        <f t="shared" si="4"/>
        <v>0</v>
      </c>
      <c r="L23" s="70">
        <f t="shared" si="4"/>
        <v>271379.69130000001</v>
      </c>
      <c r="M23" s="70">
        <f t="shared" si="4"/>
        <v>2701.71</v>
      </c>
      <c r="N23" s="70">
        <f>SUM(N16:N18,N20:N21)</f>
        <v>268677.98129999998</v>
      </c>
      <c r="O23" s="70">
        <f t="shared" si="4"/>
        <v>0</v>
      </c>
      <c r="P23" s="70">
        <f t="shared" si="4"/>
        <v>0</v>
      </c>
      <c r="Q23" s="70">
        <f t="shared" si="4"/>
        <v>268677.98129999998</v>
      </c>
    </row>
    <row r="24" spans="1:22">
      <c r="A24" s="150" t="s">
        <v>355</v>
      </c>
      <c r="B24" s="48"/>
      <c r="C24" s="48"/>
      <c r="D24" s="43"/>
      <c r="E24" s="173"/>
      <c r="F24" s="64">
        <v>159289942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22">
      <c r="A25" s="151" t="s">
        <v>30</v>
      </c>
      <c r="B25" s="51"/>
      <c r="C25" s="51"/>
      <c r="D25" s="52"/>
      <c r="E25" s="203"/>
      <c r="F25" s="152">
        <f>F23-F24</f>
        <v>34254554.678823501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T25" s="266" t="s">
        <v>378</v>
      </c>
      <c r="U25" s="266" t="s">
        <v>384</v>
      </c>
      <c r="V25" s="266" t="s">
        <v>227</v>
      </c>
    </row>
    <row r="26" spans="1:22">
      <c r="A26" s="54" t="s">
        <v>12</v>
      </c>
      <c r="B26" s="48"/>
      <c r="C26" s="48"/>
      <c r="D26" s="43"/>
      <c r="E26" s="173"/>
      <c r="F26" s="43"/>
      <c r="G26" s="64"/>
      <c r="H26" s="43"/>
      <c r="I26" s="43"/>
      <c r="J26" s="43"/>
      <c r="K26" s="43"/>
      <c r="L26" s="180"/>
      <c r="M26" s="43"/>
      <c r="N26" s="43"/>
      <c r="O26" s="43"/>
      <c r="P26" s="43"/>
      <c r="Q26" s="43"/>
      <c r="T26" s="266" t="s">
        <v>379</v>
      </c>
      <c r="U26" s="266" t="s">
        <v>385</v>
      </c>
      <c r="V26" s="266" t="s">
        <v>382</v>
      </c>
    </row>
    <row r="27" spans="1:22">
      <c r="A27" s="47"/>
      <c r="B27" s="48"/>
      <c r="C27" s="48"/>
      <c r="D27" s="43"/>
      <c r="E27" s="173"/>
      <c r="F27" s="463">
        <f>(G37+H37)/B37*100</f>
        <v>88923995.725524113</v>
      </c>
      <c r="G27" s="13"/>
      <c r="H27" s="463">
        <f>F27-J27</f>
        <v>88856341.230503425</v>
      </c>
      <c r="I27" s="13"/>
      <c r="J27" s="463">
        <f>J37/B37*100</f>
        <v>67654.495020690301</v>
      </c>
      <c r="K27" s="43"/>
      <c r="L27" s="43"/>
      <c r="M27" s="43"/>
      <c r="N27" s="43"/>
      <c r="O27" s="43"/>
      <c r="P27" s="43"/>
      <c r="Q27" s="43"/>
      <c r="T27" s="266"/>
      <c r="U27" s="266" t="s">
        <v>381</v>
      </c>
      <c r="V27" s="266" t="s">
        <v>383</v>
      </c>
    </row>
    <row r="28" spans="1:22">
      <c r="A28" s="49" t="s">
        <v>15</v>
      </c>
      <c r="B28" s="48"/>
      <c r="C28" s="48"/>
      <c r="D28" s="43"/>
      <c r="E28" s="17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T28" s="266"/>
      <c r="U28" s="266"/>
      <c r="V28" s="266"/>
    </row>
    <row r="29" spans="1:22">
      <c r="A29" s="103" t="s">
        <v>61</v>
      </c>
      <c r="B29" s="48">
        <v>2.0781000000000001</v>
      </c>
      <c r="C29" s="48">
        <v>0</v>
      </c>
      <c r="D29" s="43">
        <v>2577</v>
      </c>
      <c r="E29" s="173"/>
      <c r="F29" s="43">
        <v>88856162</v>
      </c>
      <c r="G29" s="53">
        <v>19200.78</v>
      </c>
      <c r="H29" s="53">
        <v>1828725.05</v>
      </c>
      <c r="I29" s="53">
        <v>0</v>
      </c>
      <c r="J29" s="53">
        <v>1405.92</v>
      </c>
      <c r="K29" s="53">
        <v>0</v>
      </c>
      <c r="L29" s="53">
        <f t="shared" ref="L29:L36" si="5">G29+H29+I29-J29+K29</f>
        <v>1846519.9100000001</v>
      </c>
      <c r="M29" s="53">
        <v>22014.44</v>
      </c>
      <c r="N29" s="53">
        <f t="shared" ref="N29:N35" si="6">L29-M29</f>
        <v>1824505.4700000002</v>
      </c>
      <c r="O29" s="53">
        <v>0</v>
      </c>
      <c r="P29" s="53">
        <v>0</v>
      </c>
      <c r="Q29" s="53">
        <f t="shared" ref="Q29:Q35" si="7">N29-O29-P29</f>
        <v>1824505.4700000002</v>
      </c>
      <c r="T29" s="267">
        <f t="shared" ref="T29:T36" si="8">B29/$B$37</f>
        <v>0.94497749079168769</v>
      </c>
      <c r="U29" s="153">
        <f t="shared" ref="U29:U36" si="9">$T$42*T29</f>
        <v>1457043.2806334009</v>
      </c>
      <c r="V29" s="153">
        <f t="shared" ref="V29:V34" si="10">Q29+U29</f>
        <v>3281548.7506334009</v>
      </c>
    </row>
    <row r="30" spans="1:22">
      <c r="A30" s="103" t="s">
        <v>101</v>
      </c>
      <c r="B30" s="48">
        <v>1.4999999999999999E-2</v>
      </c>
      <c r="C30" s="48">
        <v>0</v>
      </c>
      <c r="D30" s="43">
        <v>2577</v>
      </c>
      <c r="E30" s="173"/>
      <c r="F30" s="43">
        <v>88856162</v>
      </c>
      <c r="G30" s="53">
        <v>138.62</v>
      </c>
      <c r="H30" s="53">
        <v>13200.8</v>
      </c>
      <c r="I30" s="53">
        <v>0</v>
      </c>
      <c r="J30" s="53">
        <v>10.16</v>
      </c>
      <c r="K30" s="53">
        <v>0</v>
      </c>
      <c r="L30" s="53">
        <f t="shared" si="5"/>
        <v>13329.26</v>
      </c>
      <c r="M30" s="53">
        <v>138.29</v>
      </c>
      <c r="N30" s="53">
        <f t="shared" si="6"/>
        <v>13190.97</v>
      </c>
      <c r="O30" s="53">
        <v>0</v>
      </c>
      <c r="P30" s="53">
        <v>0</v>
      </c>
      <c r="Q30" s="53">
        <f t="shared" si="7"/>
        <v>13190.97</v>
      </c>
      <c r="T30" s="267">
        <f t="shared" si="8"/>
        <v>6.8209722159065077E-3</v>
      </c>
      <c r="U30" s="153">
        <f t="shared" si="9"/>
        <v>10517.130652760219</v>
      </c>
      <c r="V30" s="153">
        <f t="shared" si="10"/>
        <v>23708.100652760219</v>
      </c>
    </row>
    <row r="31" spans="1:22">
      <c r="A31" s="103" t="s">
        <v>102</v>
      </c>
      <c r="B31" s="48">
        <v>0.01</v>
      </c>
      <c r="C31" s="48">
        <v>0</v>
      </c>
      <c r="D31" s="43">
        <v>2577</v>
      </c>
      <c r="E31" s="173"/>
      <c r="F31" s="43">
        <v>88856162</v>
      </c>
      <c r="G31" s="53">
        <v>92.4</v>
      </c>
      <c r="H31" s="53">
        <v>8800.2999999999993</v>
      </c>
      <c r="I31" s="53">
        <v>0</v>
      </c>
      <c r="J31" s="53">
        <v>6.75</v>
      </c>
      <c r="K31" s="53">
        <v>0</v>
      </c>
      <c r="L31" s="53">
        <f t="shared" si="5"/>
        <v>8885.9499999999989</v>
      </c>
      <c r="M31" s="53">
        <v>92.25</v>
      </c>
      <c r="N31" s="53">
        <f t="shared" si="6"/>
        <v>8793.6999999999989</v>
      </c>
      <c r="O31" s="53">
        <v>0</v>
      </c>
      <c r="P31" s="53">
        <v>0</v>
      </c>
      <c r="Q31" s="53">
        <f t="shared" si="7"/>
        <v>8793.6999999999989</v>
      </c>
      <c r="T31" s="267">
        <f t="shared" si="8"/>
        <v>4.5473148106043391E-3</v>
      </c>
      <c r="U31" s="153">
        <f t="shared" si="9"/>
        <v>7011.4204351734807</v>
      </c>
      <c r="V31" s="153">
        <f t="shared" si="10"/>
        <v>15805.12043517348</v>
      </c>
    </row>
    <row r="32" spans="1:22">
      <c r="A32" s="103" t="s">
        <v>69</v>
      </c>
      <c r="B32" s="48">
        <v>0</v>
      </c>
      <c r="C32" s="48">
        <v>0</v>
      </c>
      <c r="D32" s="43">
        <v>2487</v>
      </c>
      <c r="E32" s="173"/>
      <c r="F32" s="43">
        <v>88497638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f t="shared" si="7"/>
        <v>0</v>
      </c>
      <c r="T32" s="267">
        <f t="shared" si="8"/>
        <v>0</v>
      </c>
      <c r="U32" s="153">
        <f t="shared" si="9"/>
        <v>0</v>
      </c>
      <c r="V32" s="153">
        <f t="shared" si="10"/>
        <v>0</v>
      </c>
    </row>
    <row r="33" spans="1:22">
      <c r="A33" s="103" t="s">
        <v>103</v>
      </c>
      <c r="B33" s="48">
        <v>1E-3</v>
      </c>
      <c r="C33" s="48">
        <v>0</v>
      </c>
      <c r="D33" s="43">
        <v>2577</v>
      </c>
      <c r="E33" s="173"/>
      <c r="F33" s="43">
        <v>88856162</v>
      </c>
      <c r="G33" s="53">
        <v>9.1199999999999992</v>
      </c>
      <c r="H33" s="53">
        <v>881.05</v>
      </c>
      <c r="I33" s="53">
        <v>0</v>
      </c>
      <c r="J33" s="53">
        <v>0.69</v>
      </c>
      <c r="K33" s="53">
        <v>0</v>
      </c>
      <c r="L33" s="53">
        <f t="shared" si="5"/>
        <v>889.4799999999999</v>
      </c>
      <c r="M33" s="53">
        <v>9.18</v>
      </c>
      <c r="N33" s="53">
        <f t="shared" si="6"/>
        <v>880.3</v>
      </c>
      <c r="O33" s="53">
        <v>0</v>
      </c>
      <c r="P33" s="53">
        <v>0</v>
      </c>
      <c r="Q33" s="53">
        <f t="shared" si="7"/>
        <v>880.3</v>
      </c>
      <c r="T33" s="267">
        <f t="shared" si="8"/>
        <v>4.5473148106043389E-4</v>
      </c>
      <c r="U33" s="153">
        <f t="shared" si="9"/>
        <v>701.14204351734804</v>
      </c>
      <c r="V33" s="153">
        <f t="shared" si="10"/>
        <v>1581.4420435173479</v>
      </c>
    </row>
    <row r="34" spans="1:22">
      <c r="A34" s="103" t="s">
        <v>374</v>
      </c>
      <c r="B34" s="48">
        <v>0.02</v>
      </c>
      <c r="C34" s="48">
        <v>0</v>
      </c>
      <c r="D34" s="43">
        <v>2577</v>
      </c>
      <c r="E34" s="173"/>
      <c r="F34" s="43">
        <v>88856162</v>
      </c>
      <c r="G34" s="53">
        <v>184.8</v>
      </c>
      <c r="H34" s="53">
        <v>17600.43</v>
      </c>
      <c r="I34" s="53">
        <v>0</v>
      </c>
      <c r="J34" s="53">
        <v>13.51</v>
      </c>
      <c r="K34" s="53">
        <v>0</v>
      </c>
      <c r="L34" s="53">
        <f t="shared" si="5"/>
        <v>17771.72</v>
      </c>
      <c r="M34" s="53">
        <v>184.29</v>
      </c>
      <c r="N34" s="53">
        <f t="shared" si="6"/>
        <v>17587.43</v>
      </c>
      <c r="O34" s="53">
        <v>0</v>
      </c>
      <c r="P34" s="53">
        <v>0</v>
      </c>
      <c r="Q34" s="53">
        <f t="shared" si="7"/>
        <v>17587.43</v>
      </c>
      <c r="T34" s="267">
        <f t="shared" si="8"/>
        <v>9.0946296212086782E-3</v>
      </c>
      <c r="U34" s="153">
        <f t="shared" si="9"/>
        <v>14022.840870346961</v>
      </c>
      <c r="V34" s="153">
        <f t="shared" si="10"/>
        <v>31610.270870346962</v>
      </c>
    </row>
    <row r="35" spans="1:22">
      <c r="A35" s="16" t="s">
        <v>476</v>
      </c>
      <c r="B35" s="48">
        <v>2.5000000000000001E-2</v>
      </c>
      <c r="C35" s="48">
        <v>0</v>
      </c>
      <c r="D35" s="43">
        <v>2577</v>
      </c>
      <c r="E35" s="173"/>
      <c r="F35" s="43">
        <v>88856162</v>
      </c>
      <c r="G35" s="53">
        <v>231.09</v>
      </c>
      <c r="H35" s="53">
        <v>22001.35</v>
      </c>
      <c r="I35" s="53">
        <v>0</v>
      </c>
      <c r="J35" s="53">
        <v>16.93</v>
      </c>
      <c r="K35" s="53">
        <v>0</v>
      </c>
      <c r="L35" s="53">
        <f t="shared" ref="L35" si="11">G35+H35+I35-J35+K35</f>
        <v>22215.51</v>
      </c>
      <c r="M35" s="53">
        <v>230.29</v>
      </c>
      <c r="N35" s="53">
        <f t="shared" si="6"/>
        <v>21985.219999999998</v>
      </c>
      <c r="O35" s="53">
        <v>0</v>
      </c>
      <c r="P35" s="53">
        <v>0</v>
      </c>
      <c r="Q35" s="53">
        <f t="shared" si="7"/>
        <v>21985.219999999998</v>
      </c>
      <c r="T35" s="512">
        <f t="shared" si="8"/>
        <v>1.1368287026510849E-2</v>
      </c>
      <c r="U35" s="266">
        <f t="shared" si="9"/>
        <v>17528.551087933702</v>
      </c>
      <c r="V35" s="153">
        <f>Q35+U35</f>
        <v>39513.771087933696</v>
      </c>
    </row>
    <row r="36" spans="1:22">
      <c r="A36" s="16" t="s">
        <v>559</v>
      </c>
      <c r="B36" s="48">
        <v>0.05</v>
      </c>
      <c r="C36" s="48">
        <v>0</v>
      </c>
      <c r="D36" s="43">
        <v>2577</v>
      </c>
      <c r="E36" s="65">
        <v>10856643</v>
      </c>
      <c r="F36" s="43">
        <v>88856162</v>
      </c>
      <c r="G36" s="53">
        <v>462.06</v>
      </c>
      <c r="H36" s="53">
        <v>43999.74</v>
      </c>
      <c r="I36" s="53">
        <v>0</v>
      </c>
      <c r="J36" s="53">
        <v>33.83</v>
      </c>
      <c r="K36" s="53">
        <v>0</v>
      </c>
      <c r="L36" s="53">
        <f t="shared" si="5"/>
        <v>44427.969999999994</v>
      </c>
      <c r="M36" s="53">
        <v>460.69</v>
      </c>
      <c r="N36" s="53">
        <f t="shared" ref="N36" si="12">L36-M36</f>
        <v>43967.279999999992</v>
      </c>
      <c r="O36" s="53">
        <v>0</v>
      </c>
      <c r="P36" s="53">
        <v>0</v>
      </c>
      <c r="Q36" s="53">
        <f t="shared" ref="Q36" si="13">N36-O36-P36</f>
        <v>43967.279999999992</v>
      </c>
      <c r="T36" s="512">
        <f t="shared" si="8"/>
        <v>2.2736574053021697E-2</v>
      </c>
      <c r="U36" s="266">
        <f t="shared" si="9"/>
        <v>35057.102175867403</v>
      </c>
      <c r="V36" s="153">
        <f>Q36+U36</f>
        <v>79024.382175867388</v>
      </c>
    </row>
    <row r="37" spans="1:22">
      <c r="A37" s="71" t="s">
        <v>26</v>
      </c>
      <c r="B37" s="48">
        <f>SUM(B29:B36)</f>
        <v>2.1990999999999996</v>
      </c>
      <c r="C37" s="48">
        <f>-SUM(C29:C36)</f>
        <v>0</v>
      </c>
      <c r="D37" s="72">
        <f>+D29</f>
        <v>2577</v>
      </c>
      <c r="E37" s="208">
        <f>G37/B37*100</f>
        <v>923962.98485744174</v>
      </c>
      <c r="F37" s="72">
        <f>+F29</f>
        <v>88856162</v>
      </c>
      <c r="G37" s="73">
        <f>SUM(G29:G36)</f>
        <v>20318.87</v>
      </c>
      <c r="H37" s="73">
        <f>SUM(H29:H36)</f>
        <v>1935208.7200000002</v>
      </c>
      <c r="I37" s="73">
        <f>SUM(I29:I36)</f>
        <v>0</v>
      </c>
      <c r="J37" s="73">
        <f>SUM(J29:J36)</f>
        <v>1487.7900000000002</v>
      </c>
      <c r="K37" s="73"/>
      <c r="L37" s="73">
        <f>SUM(L29:L36)</f>
        <v>1954039.8</v>
      </c>
      <c r="M37" s="73">
        <f>SUM(M29:M36)</f>
        <v>23129.43</v>
      </c>
      <c r="N37" s="73">
        <f>SUM(N29:N36)</f>
        <v>1930910.37</v>
      </c>
      <c r="O37" s="73">
        <f>SUM(O29:O36)</f>
        <v>0</v>
      </c>
      <c r="P37" s="73">
        <f>SUM(P29:P36)</f>
        <v>0</v>
      </c>
      <c r="Q37" s="73">
        <f>N37-O37-P37</f>
        <v>1930910.37</v>
      </c>
      <c r="T37" s="267">
        <f>SUM(T29:T36)</f>
        <v>1.0000000000000002</v>
      </c>
      <c r="U37" s="153">
        <f>SUM(U29:U36)</f>
        <v>1541881.4678989998</v>
      </c>
      <c r="V37" s="153">
        <f>SUM(V29:V36)</f>
        <v>3472791.8378990004</v>
      </c>
    </row>
    <row r="38" spans="1:22" ht="21" customHeight="1">
      <c r="A38" s="47" t="s">
        <v>16</v>
      </c>
      <c r="B38" s="48">
        <f>B$37</f>
        <v>2.1990999999999996</v>
      </c>
      <c r="C38" s="48">
        <f>C$37</f>
        <v>0</v>
      </c>
      <c r="D38" s="43"/>
      <c r="E38" s="259"/>
      <c r="F38" s="65">
        <f>IF(E36&gt;E37,E36-E37,0)</f>
        <v>9932680.0151425581</v>
      </c>
      <c r="G38" s="53">
        <f>F38*(B38-C38)/100</f>
        <v>218429.56621299998</v>
      </c>
      <c r="H38" s="53"/>
      <c r="I38" s="53">
        <f>F38*C38/100</f>
        <v>0</v>
      </c>
      <c r="J38" s="53"/>
      <c r="K38" s="53"/>
      <c r="L38" s="53">
        <f>G38+H38+I38-J38+K38</f>
        <v>218429.56621299998</v>
      </c>
      <c r="M38" s="53"/>
      <c r="N38" s="53">
        <f>L38-M38</f>
        <v>218429.56621299998</v>
      </c>
      <c r="O38" s="53"/>
      <c r="P38" s="53"/>
      <c r="Q38" s="53">
        <f>N38-O38-P38</f>
        <v>218429.56621299998</v>
      </c>
      <c r="T38" s="266"/>
      <c r="U38" s="266"/>
      <c r="V38" s="266"/>
    </row>
    <row r="39" spans="1:22" ht="12.75" customHeight="1">
      <c r="A39" s="47" t="s">
        <v>17</v>
      </c>
      <c r="B39" s="48">
        <f t="shared" ref="B39:C42" si="14">B$37</f>
        <v>2.1990999999999996</v>
      </c>
      <c r="C39" s="48">
        <f t="shared" si="14"/>
        <v>0</v>
      </c>
      <c r="D39" s="43"/>
      <c r="E39" s="173"/>
      <c r="F39" s="66">
        <v>17021146</v>
      </c>
      <c r="G39" s="53"/>
      <c r="H39" s="53">
        <f>F39*(B39-C39)/100</f>
        <v>374312.02168599993</v>
      </c>
      <c r="I39" s="53">
        <f>F39*C39/100</f>
        <v>0</v>
      </c>
      <c r="J39" s="53">
        <v>0</v>
      </c>
      <c r="K39" s="53">
        <v>0</v>
      </c>
      <c r="L39" s="53">
        <f>G39+H39+I39-J39+K39</f>
        <v>374312.02168599993</v>
      </c>
      <c r="M39" s="53">
        <v>0</v>
      </c>
      <c r="N39" s="53">
        <f>L39-M39</f>
        <v>374312.02168599993</v>
      </c>
      <c r="O39" s="53">
        <v>0</v>
      </c>
      <c r="P39" s="53">
        <v>0</v>
      </c>
      <c r="Q39" s="53">
        <f>N39-O39-P39</f>
        <v>374312.02168599993</v>
      </c>
      <c r="T39" s="266" t="s">
        <v>380</v>
      </c>
      <c r="U39" s="266"/>
      <c r="V39" s="266"/>
    </row>
    <row r="40" spans="1:22">
      <c r="A40" s="47" t="s">
        <v>18</v>
      </c>
      <c r="B40" s="48"/>
      <c r="C40" s="48"/>
      <c r="D40" s="43"/>
      <c r="E40" s="173"/>
      <c r="F40" s="4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T40" s="266" t="s">
        <v>381</v>
      </c>
      <c r="U40" s="266"/>
      <c r="V40" s="266"/>
    </row>
    <row r="41" spans="1:22">
      <c r="A41" s="67" t="s">
        <v>19</v>
      </c>
      <c r="B41" s="48">
        <f t="shared" si="14"/>
        <v>2.1990999999999996</v>
      </c>
      <c r="C41" s="48">
        <f t="shared" si="14"/>
        <v>0</v>
      </c>
      <c r="D41" s="43"/>
      <c r="E41" s="173"/>
      <c r="F41" s="43">
        <v>72722148.959999993</v>
      </c>
      <c r="G41" s="53">
        <v>1236794.82</v>
      </c>
      <c r="H41" s="53">
        <v>378862.83</v>
      </c>
      <c r="I41" s="53">
        <f>F41*C41/100</f>
        <v>0</v>
      </c>
      <c r="J41" s="53">
        <v>746889.76</v>
      </c>
      <c r="K41" s="53">
        <v>0</v>
      </c>
      <c r="L41" s="53">
        <f>G41+H41+I41-J41+K41</f>
        <v>868767.89000000013</v>
      </c>
      <c r="M41" s="53">
        <v>14692.87</v>
      </c>
      <c r="N41" s="53">
        <f>L41-M41</f>
        <v>854075.02000000014</v>
      </c>
      <c r="O41" s="53">
        <v>0</v>
      </c>
      <c r="P41" s="53">
        <v>0</v>
      </c>
      <c r="Q41" s="53">
        <f>N41-O41-P41</f>
        <v>854075.02000000014</v>
      </c>
      <c r="T41" s="266"/>
      <c r="U41" s="266"/>
      <c r="V41" s="266"/>
    </row>
    <row r="42" spans="1:22">
      <c r="A42" s="67" t="s">
        <v>20</v>
      </c>
      <c r="B42" s="48">
        <f t="shared" si="14"/>
        <v>2.1990999999999996</v>
      </c>
      <c r="C42" s="48">
        <f t="shared" si="14"/>
        <v>0</v>
      </c>
      <c r="D42" s="43"/>
      <c r="E42" s="173"/>
      <c r="F42" s="43">
        <v>4322897.7300000004</v>
      </c>
      <c r="G42" s="53">
        <v>95023.679999999993</v>
      </c>
      <c r="H42" s="53">
        <v>41.18</v>
      </c>
      <c r="I42" s="53">
        <v>0</v>
      </c>
      <c r="J42" s="53">
        <v>0</v>
      </c>
      <c r="K42" s="53">
        <v>0</v>
      </c>
      <c r="L42" s="53">
        <f>G42+H42+I42-J42+K42</f>
        <v>95064.859999999986</v>
      </c>
      <c r="M42" s="53">
        <v>0</v>
      </c>
      <c r="N42" s="53">
        <f>L42-M42</f>
        <v>95064.859999999986</v>
      </c>
      <c r="O42" s="53">
        <v>0</v>
      </c>
      <c r="P42" s="53">
        <v>0</v>
      </c>
      <c r="Q42" s="53">
        <f>N42-O42-P42</f>
        <v>95064.859999999986</v>
      </c>
      <c r="T42" s="153">
        <f>SUM(Q38:Q39,Q41:Q42)</f>
        <v>1541881.4678989998</v>
      </c>
      <c r="U42" s="266"/>
      <c r="V42" s="266"/>
    </row>
    <row r="43" spans="1:22">
      <c r="A43" s="47"/>
      <c r="B43" s="48"/>
      <c r="C43" s="48"/>
      <c r="D43" s="43"/>
      <c r="E43" s="173"/>
      <c r="F43" s="4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T43" s="266"/>
      <c r="U43" s="266"/>
      <c r="V43" s="266"/>
    </row>
    <row r="44" spans="1:22" s="50" customFormat="1" ht="13.5" thickBot="1">
      <c r="A44" s="57" t="str">
        <f>"TOTAL "&amp;A26</f>
        <v>TOTAL GENERAL COUNTY</v>
      </c>
      <c r="B44" s="68">
        <f>B37</f>
        <v>2.1990999999999996</v>
      </c>
      <c r="C44" s="68">
        <f>C37</f>
        <v>0</v>
      </c>
      <c r="D44" s="69">
        <f t="shared" ref="D44:P44" si="15">SUM(D37:D39,D41:D42)</f>
        <v>2577</v>
      </c>
      <c r="E44" s="204"/>
      <c r="F44" s="69">
        <f>SUM(F37:F39,F41:F42)</f>
        <v>192855034.70514253</v>
      </c>
      <c r="G44" s="70">
        <f t="shared" si="15"/>
        <v>1570566.936213</v>
      </c>
      <c r="H44" s="70">
        <f t="shared" si="15"/>
        <v>2688424.7516860003</v>
      </c>
      <c r="I44" s="70">
        <f t="shared" si="15"/>
        <v>0</v>
      </c>
      <c r="J44" s="70">
        <f t="shared" si="15"/>
        <v>748377.55</v>
      </c>
      <c r="K44" s="70">
        <f t="shared" si="15"/>
        <v>0</v>
      </c>
      <c r="L44" s="70">
        <f t="shared" si="15"/>
        <v>3510614.1378989997</v>
      </c>
      <c r="M44" s="70">
        <f t="shared" si="15"/>
        <v>37822.300000000003</v>
      </c>
      <c r="N44" s="70">
        <f t="shared" si="15"/>
        <v>3472791.8378989999</v>
      </c>
      <c r="O44" s="70">
        <f t="shared" si="15"/>
        <v>0</v>
      </c>
      <c r="P44" s="70">
        <f t="shared" si="15"/>
        <v>0</v>
      </c>
      <c r="Q44" s="70">
        <f>SUM(Q37:Q39,Q41:Q42)</f>
        <v>3472791.8378989999</v>
      </c>
    </row>
    <row r="45" spans="1:22" s="168" customFormat="1">
      <c r="A45" s="165" t="s">
        <v>28</v>
      </c>
      <c r="B45" s="166"/>
      <c r="C45" s="166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</row>
    <row r="46" spans="1:22" s="168" customFormat="1">
      <c r="A46" s="200" t="s">
        <v>29</v>
      </c>
      <c r="B46" s="166"/>
      <c r="C46" s="166"/>
      <c r="D46" s="167"/>
      <c r="E46" s="167"/>
      <c r="F46" s="167">
        <v>924573</v>
      </c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</row>
    <row r="47" spans="1:22" s="168" customFormat="1">
      <c r="A47" s="200" t="s">
        <v>15</v>
      </c>
      <c r="B47" s="166"/>
      <c r="C47" s="166"/>
      <c r="D47" s="167"/>
      <c r="E47" s="167"/>
      <c r="F47" s="169">
        <v>87583645</v>
      </c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</row>
    <row r="48" spans="1:22" s="168" customFormat="1">
      <c r="A48" s="200"/>
      <c r="B48" s="166"/>
      <c r="C48" s="166"/>
      <c r="D48" s="167"/>
      <c r="E48" s="167"/>
      <c r="F48" s="167">
        <f>F46+F47</f>
        <v>88508218</v>
      </c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</row>
    <row r="49" spans="1:19" s="168" customFormat="1">
      <c r="A49" s="200" t="s">
        <v>30</v>
      </c>
      <c r="B49" s="166"/>
      <c r="C49" s="166"/>
      <c r="D49" s="167"/>
      <c r="E49" s="167"/>
      <c r="F49" s="74">
        <f>F37-F48</f>
        <v>347944</v>
      </c>
      <c r="G49" s="170">
        <f>F49/F48</f>
        <v>3.9312055746055126E-3</v>
      </c>
      <c r="H49" s="167"/>
      <c r="I49" s="167"/>
      <c r="J49" s="167"/>
      <c r="K49" s="167"/>
      <c r="L49" s="167"/>
      <c r="M49" s="167"/>
      <c r="N49" s="167"/>
      <c r="O49" s="167"/>
      <c r="P49" s="167"/>
      <c r="Q49" s="167"/>
    </row>
    <row r="50" spans="1:19" s="174" customFormat="1">
      <c r="A50" s="171"/>
      <c r="B50" s="172"/>
      <c r="C50" s="172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1:19" s="174" customFormat="1">
      <c r="A51" s="75" t="s">
        <v>355</v>
      </c>
      <c r="B51" s="172"/>
      <c r="C51" s="172"/>
      <c r="D51" s="173"/>
      <c r="E51" s="173"/>
      <c r="F51" s="175">
        <v>159289942</v>
      </c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1:19" s="174" customFormat="1">
      <c r="A52" s="76" t="s">
        <v>30</v>
      </c>
      <c r="B52" s="172"/>
      <c r="C52" s="172"/>
      <c r="D52" s="77"/>
      <c r="E52" s="77"/>
      <c r="F52" s="77">
        <f>F44-F51</f>
        <v>33565092.705142528</v>
      </c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1:19">
      <c r="A53" s="47"/>
      <c r="B53" s="48"/>
      <c r="C53" s="48"/>
      <c r="D53" s="43"/>
      <c r="E53" s="17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9">
      <c r="A54" s="54" t="s">
        <v>13</v>
      </c>
      <c r="B54" s="51"/>
      <c r="C54" s="51"/>
      <c r="D54" s="52"/>
      <c r="E54" s="203"/>
      <c r="F54" s="52"/>
      <c r="G54" s="64"/>
      <c r="H54" s="53"/>
      <c r="I54" s="53"/>
      <c r="J54" s="53"/>
      <c r="K54" s="53"/>
      <c r="L54" s="53"/>
      <c r="M54" s="53"/>
      <c r="N54" s="53"/>
      <c r="O54" s="53"/>
      <c r="P54" s="53"/>
      <c r="Q54" s="53"/>
    </row>
    <row r="55" spans="1:19">
      <c r="A55" s="47"/>
      <c r="B55" s="48"/>
      <c r="C55" s="48"/>
      <c r="D55" s="43"/>
      <c r="E55" s="65">
        <v>10856643</v>
      </c>
      <c r="F55" s="4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1:19">
      <c r="A56" s="49" t="s">
        <v>15</v>
      </c>
      <c r="B56" s="48">
        <v>0.75</v>
      </c>
      <c r="C56" s="48">
        <v>0</v>
      </c>
      <c r="D56" s="43">
        <v>2577</v>
      </c>
      <c r="E56" s="173">
        <f>G56/B56*100</f>
        <v>924008</v>
      </c>
      <c r="F56" s="43">
        <v>88856162</v>
      </c>
      <c r="G56" s="53">
        <v>6930.06</v>
      </c>
      <c r="H56" s="53">
        <v>660001.99</v>
      </c>
      <c r="I56" s="53">
        <f>F56*C56/100</f>
        <v>0</v>
      </c>
      <c r="J56" s="53">
        <v>507.4</v>
      </c>
      <c r="K56" s="53">
        <v>0</v>
      </c>
      <c r="L56" s="53">
        <f>G56+H56+I56-J56+K56</f>
        <v>666424.65</v>
      </c>
      <c r="M56" s="53">
        <v>6909.43</v>
      </c>
      <c r="N56" s="53">
        <f>L56-M56</f>
        <v>659515.22</v>
      </c>
      <c r="O56" s="53">
        <v>0</v>
      </c>
      <c r="P56" s="53">
        <v>0</v>
      </c>
      <c r="Q56" s="53">
        <f>N56-O56-P56</f>
        <v>659515.22</v>
      </c>
    </row>
    <row r="57" spans="1:19">
      <c r="A57" s="47" t="s">
        <v>16</v>
      </c>
      <c r="B57" s="48">
        <f>B$56</f>
        <v>0.75</v>
      </c>
      <c r="C57" s="48">
        <f>C$56</f>
        <v>0</v>
      </c>
      <c r="D57" s="43"/>
      <c r="E57" s="173"/>
      <c r="F57" s="65">
        <f>IF(E55&gt;E56,E55-E56,0)</f>
        <v>9932635</v>
      </c>
      <c r="G57" s="53">
        <f>F57*(B57-C57)/100</f>
        <v>74494.762499999997</v>
      </c>
      <c r="H57" s="53"/>
      <c r="I57" s="53">
        <f>F57*C57/100</f>
        <v>0</v>
      </c>
      <c r="J57" s="53"/>
      <c r="K57" s="53"/>
      <c r="L57" s="53">
        <f t="shared" ref="L57:L61" si="16">G57+H57+I57-J57+K57</f>
        <v>74494.762499999997</v>
      </c>
      <c r="M57" s="53"/>
      <c r="N57" s="53">
        <f>L57-M57</f>
        <v>74494.762499999997</v>
      </c>
      <c r="O57" s="53"/>
      <c r="P57" s="53"/>
      <c r="Q57" s="53">
        <f>N57-O57-P57</f>
        <v>74494.762499999997</v>
      </c>
    </row>
    <row r="58" spans="1:19">
      <c r="A58" s="47" t="s">
        <v>17</v>
      </c>
      <c r="B58" s="48">
        <f t="shared" ref="B58:C61" si="17">B$56</f>
        <v>0.75</v>
      </c>
      <c r="C58" s="48">
        <f t="shared" si="17"/>
        <v>0</v>
      </c>
      <c r="D58" s="43"/>
      <c r="E58" s="173"/>
      <c r="F58" s="66">
        <v>17021146</v>
      </c>
      <c r="G58" s="53"/>
      <c r="H58" s="53">
        <f>F58*(B58-C58)/100</f>
        <v>127658.595</v>
      </c>
      <c r="I58" s="53">
        <f>F58*C58/100</f>
        <v>0</v>
      </c>
      <c r="J58" s="53">
        <v>0</v>
      </c>
      <c r="K58" s="53">
        <v>0</v>
      </c>
      <c r="L58" s="53">
        <f t="shared" si="16"/>
        <v>127658.595</v>
      </c>
      <c r="M58" s="53">
        <v>0</v>
      </c>
      <c r="N58" s="53">
        <f>L58-M58</f>
        <v>127658.595</v>
      </c>
      <c r="O58" s="53">
        <v>0</v>
      </c>
      <c r="P58" s="53">
        <v>0</v>
      </c>
      <c r="Q58" s="53">
        <f>N58-O58-P58</f>
        <v>127658.595</v>
      </c>
    </row>
    <row r="59" spans="1:19">
      <c r="A59" s="47" t="s">
        <v>18</v>
      </c>
      <c r="B59" s="48"/>
      <c r="C59" s="48"/>
      <c r="D59" s="43"/>
      <c r="E59" s="173"/>
      <c r="F59" s="4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</row>
    <row r="60" spans="1:19">
      <c r="A60" s="67" t="s">
        <v>19</v>
      </c>
      <c r="B60" s="48">
        <f t="shared" si="17"/>
        <v>0.75</v>
      </c>
      <c r="C60" s="48">
        <f t="shared" si="17"/>
        <v>0</v>
      </c>
      <c r="D60" s="43"/>
      <c r="E60" s="173"/>
      <c r="F60" s="43">
        <v>73214313.010000005</v>
      </c>
      <c r="G60" s="53">
        <v>421807.16</v>
      </c>
      <c r="H60" s="53">
        <v>129210.63</v>
      </c>
      <c r="I60" s="53">
        <v>0</v>
      </c>
      <c r="J60" s="53">
        <v>254725.71</v>
      </c>
      <c r="K60" s="53">
        <v>0</v>
      </c>
      <c r="L60" s="53">
        <f t="shared" si="16"/>
        <v>296292.08000000007</v>
      </c>
      <c r="M60" s="53">
        <v>5010.97</v>
      </c>
      <c r="N60" s="53">
        <f>L60-M60</f>
        <v>291281.1100000001</v>
      </c>
      <c r="O60" s="53">
        <v>0</v>
      </c>
      <c r="P60" s="53">
        <v>0</v>
      </c>
      <c r="Q60" s="53">
        <f>N60-O60-P60</f>
        <v>291281.1100000001</v>
      </c>
      <c r="S60" s="381">
        <f>Q61-G61</f>
        <v>14.040000000000873</v>
      </c>
    </row>
    <row r="61" spans="1:19">
      <c r="A61" s="67" t="s">
        <v>20</v>
      </c>
      <c r="B61" s="48">
        <f t="shared" si="17"/>
        <v>0.75</v>
      </c>
      <c r="C61" s="48">
        <f t="shared" si="17"/>
        <v>0</v>
      </c>
      <c r="D61" s="43"/>
      <c r="E61" s="173"/>
      <c r="F61" s="43">
        <v>4322897.7300000004</v>
      </c>
      <c r="G61" s="53">
        <v>32407.7</v>
      </c>
      <c r="H61" s="53">
        <v>14.04</v>
      </c>
      <c r="I61" s="53">
        <v>0</v>
      </c>
      <c r="J61" s="53">
        <v>0</v>
      </c>
      <c r="K61" s="53">
        <v>0</v>
      </c>
      <c r="L61" s="53">
        <f t="shared" si="16"/>
        <v>32421.74</v>
      </c>
      <c r="M61" s="53">
        <v>0</v>
      </c>
      <c r="N61" s="53">
        <f>L61-M61</f>
        <v>32421.74</v>
      </c>
      <c r="O61" s="53">
        <v>0</v>
      </c>
      <c r="P61" s="53">
        <v>0</v>
      </c>
      <c r="Q61" s="53">
        <f>N61-O61-P61</f>
        <v>32421.74</v>
      </c>
      <c r="S61" s="381">
        <f>G61</f>
        <v>32407.7</v>
      </c>
    </row>
    <row r="62" spans="1:19">
      <c r="A62" s="47"/>
      <c r="B62" s="48"/>
      <c r="C62" s="48"/>
      <c r="D62" s="43"/>
      <c r="E62" s="173"/>
      <c r="F62" s="4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</row>
    <row r="63" spans="1:19" s="50" customFormat="1">
      <c r="A63" s="57" t="s">
        <v>31</v>
      </c>
      <c r="B63" s="51">
        <f>B56</f>
        <v>0.75</v>
      </c>
      <c r="C63" s="51">
        <f>C56</f>
        <v>0</v>
      </c>
      <c r="D63" s="78">
        <f t="shared" ref="D63:Q63" si="18">SUM(D56:D58,D60:D61)</f>
        <v>2577</v>
      </c>
      <c r="E63" s="206"/>
      <c r="F63" s="78">
        <f t="shared" si="18"/>
        <v>193347153.73999998</v>
      </c>
      <c r="G63" s="79">
        <f t="shared" si="18"/>
        <v>535639.6825</v>
      </c>
      <c r="H63" s="79">
        <f t="shared" si="18"/>
        <v>916885.255</v>
      </c>
      <c r="I63" s="79">
        <f t="shared" si="18"/>
        <v>0</v>
      </c>
      <c r="J63" s="79">
        <f t="shared" si="18"/>
        <v>255233.11</v>
      </c>
      <c r="K63" s="79">
        <f t="shared" si="18"/>
        <v>0</v>
      </c>
      <c r="L63" s="79">
        <f t="shared" si="18"/>
        <v>1197291.8274999999</v>
      </c>
      <c r="M63" s="79">
        <f t="shared" si="18"/>
        <v>11920.400000000001</v>
      </c>
      <c r="N63" s="79">
        <f t="shared" si="18"/>
        <v>1185371.4275</v>
      </c>
      <c r="O63" s="79">
        <f t="shared" si="18"/>
        <v>0</v>
      </c>
      <c r="P63" s="79">
        <f t="shared" si="18"/>
        <v>0</v>
      </c>
      <c r="Q63" s="79">
        <f t="shared" si="18"/>
        <v>1185371.4275</v>
      </c>
      <c r="R63" s="448">
        <v>1</v>
      </c>
    </row>
    <row r="64" spans="1:19">
      <c r="A64" s="47"/>
      <c r="B64" s="48"/>
      <c r="C64" s="48"/>
      <c r="D64" s="43"/>
      <c r="E64" s="173"/>
      <c r="F64" s="43"/>
      <c r="G64" s="43"/>
      <c r="H64" s="43"/>
      <c r="I64" s="43"/>
      <c r="J64" s="43"/>
      <c r="K64" s="43"/>
      <c r="L64" s="505" t="s">
        <v>388</v>
      </c>
      <c r="M64" s="506">
        <f>M63/L63</f>
        <v>9.9561357775993023E-3</v>
      </c>
      <c r="N64" s="43"/>
      <c r="O64" s="43"/>
      <c r="P64" s="43"/>
      <c r="Q64" s="43"/>
    </row>
    <row r="65" spans="1:17">
      <c r="A65" s="47"/>
      <c r="B65" s="48"/>
      <c r="C65" s="48"/>
      <c r="D65" s="43"/>
      <c r="E65" s="17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>
      <c r="A66" s="54" t="s">
        <v>32</v>
      </c>
      <c r="B66" s="48"/>
      <c r="C66" s="48"/>
      <c r="D66" s="43"/>
      <c r="E66" s="173"/>
      <c r="F66" s="4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</row>
    <row r="67" spans="1:17">
      <c r="A67" s="47"/>
      <c r="B67" s="48"/>
      <c r="C67" s="48"/>
      <c r="D67" s="43"/>
      <c r="E67" s="65">
        <v>10856643</v>
      </c>
      <c r="F67" s="4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1:17">
      <c r="A68" s="49" t="s">
        <v>15</v>
      </c>
      <c r="B68" s="48">
        <v>0</v>
      </c>
      <c r="C68" s="48"/>
      <c r="D68" s="43"/>
      <c r="E68" s="173"/>
      <c r="F68" s="52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>
        <f>N68-O68-P68</f>
        <v>0</v>
      </c>
    </row>
    <row r="69" spans="1:17">
      <c r="A69" s="47" t="s">
        <v>16</v>
      </c>
      <c r="B69" s="48">
        <f>B$68</f>
        <v>0</v>
      </c>
      <c r="C69" s="48">
        <f>C$68</f>
        <v>0</v>
      </c>
      <c r="D69" s="43"/>
      <c r="E69" s="173"/>
      <c r="F69" s="65">
        <f>IF(E67&gt;E68,E67-E68,0)</f>
        <v>10856643</v>
      </c>
      <c r="G69" s="53">
        <f>F69*(B69-C69)/100</f>
        <v>0</v>
      </c>
      <c r="H69" s="53"/>
      <c r="I69" s="53">
        <f>F69*C69/100</f>
        <v>0</v>
      </c>
      <c r="J69" s="53"/>
      <c r="K69" s="53"/>
      <c r="L69" s="53">
        <f>G69+H69+I69-J69+K69</f>
        <v>0</v>
      </c>
      <c r="M69" s="53"/>
      <c r="N69" s="53">
        <f>L69-M69</f>
        <v>0</v>
      </c>
      <c r="O69" s="53"/>
      <c r="P69" s="53"/>
      <c r="Q69" s="53">
        <f>N69-O69-P69</f>
        <v>0</v>
      </c>
    </row>
    <row r="70" spans="1:17">
      <c r="A70" s="47" t="s">
        <v>17</v>
      </c>
      <c r="B70" s="48">
        <f t="shared" ref="B70:C73" si="19">B$68</f>
        <v>0</v>
      </c>
      <c r="C70" s="48">
        <f t="shared" si="19"/>
        <v>0</v>
      </c>
      <c r="D70" s="43"/>
      <c r="E70" s="173"/>
      <c r="F70" s="66">
        <v>17021146</v>
      </c>
      <c r="G70" s="53"/>
      <c r="H70" s="53">
        <f>F70*(B70-C70)/100</f>
        <v>0</v>
      </c>
      <c r="I70" s="53">
        <f>F70*C70/100</f>
        <v>0</v>
      </c>
      <c r="J70" s="53"/>
      <c r="K70" s="53"/>
      <c r="L70" s="53">
        <f>G70+H70+I70-J70+K70</f>
        <v>0</v>
      </c>
      <c r="M70" s="53"/>
      <c r="N70" s="53">
        <f>L70-M70</f>
        <v>0</v>
      </c>
      <c r="O70" s="53"/>
      <c r="P70" s="53"/>
      <c r="Q70" s="53">
        <f>N70-O70-P70</f>
        <v>0</v>
      </c>
    </row>
    <row r="71" spans="1:17">
      <c r="A71" s="47" t="s">
        <v>18</v>
      </c>
      <c r="B71" s="48"/>
      <c r="C71" s="48"/>
      <c r="D71" s="43"/>
      <c r="E71" s="173"/>
      <c r="F71" s="4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1:17">
      <c r="A72" s="67" t="s">
        <v>19</v>
      </c>
      <c r="B72" s="48">
        <f t="shared" si="19"/>
        <v>0</v>
      </c>
      <c r="C72" s="48">
        <f t="shared" si="19"/>
        <v>0</v>
      </c>
      <c r="D72" s="43"/>
      <c r="E72" s="173"/>
      <c r="F72" s="43"/>
      <c r="G72" s="53"/>
      <c r="H72" s="53"/>
      <c r="I72" s="53"/>
      <c r="J72" s="53"/>
      <c r="K72" s="53"/>
      <c r="L72" s="53">
        <f>G72+H72+I72-J72+K72</f>
        <v>0</v>
      </c>
      <c r="M72" s="53"/>
      <c r="N72" s="53">
        <f>L72-M72</f>
        <v>0</v>
      </c>
      <c r="O72" s="53"/>
      <c r="P72" s="53"/>
      <c r="Q72" s="53">
        <f>N72-O72-P72</f>
        <v>0</v>
      </c>
    </row>
    <row r="73" spans="1:17">
      <c r="A73" s="67" t="s">
        <v>20</v>
      </c>
      <c r="B73" s="48">
        <f t="shared" si="19"/>
        <v>0</v>
      </c>
      <c r="C73" s="48">
        <f t="shared" si="19"/>
        <v>0</v>
      </c>
      <c r="D73" s="43"/>
      <c r="E73" s="173"/>
      <c r="F73" s="43"/>
      <c r="G73" s="53"/>
      <c r="H73" s="53"/>
      <c r="I73" s="53"/>
      <c r="J73" s="53"/>
      <c r="K73" s="53"/>
      <c r="L73" s="53">
        <f>G73+H73+I73-J73+K73</f>
        <v>0</v>
      </c>
      <c r="M73" s="53"/>
      <c r="N73" s="53">
        <f>L73-M73</f>
        <v>0</v>
      </c>
      <c r="O73" s="53"/>
      <c r="P73" s="53"/>
      <c r="Q73" s="53">
        <f>N73-O73-P73</f>
        <v>0</v>
      </c>
    </row>
    <row r="74" spans="1:17">
      <c r="A74" s="47"/>
      <c r="B74" s="48"/>
      <c r="C74" s="48"/>
      <c r="D74" s="43"/>
      <c r="E74" s="173"/>
      <c r="F74" s="4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7" s="50" customFormat="1">
      <c r="A75" s="57" t="str">
        <f>"TOTAL "&amp;A66</f>
        <v>TOTAL SCHOOL DEBT</v>
      </c>
      <c r="B75" s="51">
        <f>B68</f>
        <v>0</v>
      </c>
      <c r="C75" s="51">
        <f>C68</f>
        <v>0</v>
      </c>
      <c r="D75" s="78">
        <f t="shared" ref="D75:P75" si="20">SUM(D68:D70,D72:D73)</f>
        <v>0</v>
      </c>
      <c r="E75" s="206"/>
      <c r="F75" s="78">
        <f t="shared" si="20"/>
        <v>27877789</v>
      </c>
      <c r="G75" s="79">
        <f t="shared" si="20"/>
        <v>0</v>
      </c>
      <c r="H75" s="79">
        <f t="shared" si="20"/>
        <v>0</v>
      </c>
      <c r="I75" s="79">
        <f t="shared" si="20"/>
        <v>0</v>
      </c>
      <c r="J75" s="79">
        <f t="shared" si="20"/>
        <v>0</v>
      </c>
      <c r="K75" s="79">
        <f t="shared" si="20"/>
        <v>0</v>
      </c>
      <c r="L75" s="79">
        <f t="shared" si="20"/>
        <v>0</v>
      </c>
      <c r="M75" s="79">
        <f t="shared" si="20"/>
        <v>0</v>
      </c>
      <c r="N75" s="79">
        <f t="shared" si="20"/>
        <v>0</v>
      </c>
      <c r="O75" s="79">
        <f t="shared" si="20"/>
        <v>0</v>
      </c>
      <c r="P75" s="79">
        <f t="shared" si="20"/>
        <v>0</v>
      </c>
      <c r="Q75" s="79">
        <f>SUM(Q68:Q70,Q72:Q73)</f>
        <v>0</v>
      </c>
    </row>
    <row r="76" spans="1:17">
      <c r="A76" s="47"/>
      <c r="B76" s="48"/>
      <c r="C76" s="48"/>
      <c r="D76" s="43"/>
      <c r="E76" s="173"/>
      <c r="F76" s="4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1:17" s="50" customFormat="1" ht="13.5" thickBot="1">
      <c r="A77" s="60" t="s">
        <v>34</v>
      </c>
      <c r="B77" s="68">
        <f>B63+B75</f>
        <v>0.75</v>
      </c>
      <c r="C77" s="68">
        <f>C63+C75</f>
        <v>0</v>
      </c>
      <c r="D77" s="69">
        <f>D63</f>
        <v>2577</v>
      </c>
      <c r="E77" s="204"/>
      <c r="F77" s="69">
        <f>F63</f>
        <v>193347153.73999998</v>
      </c>
      <c r="G77" s="70">
        <f t="shared" ref="G77:Q77" si="21">G63+G75</f>
        <v>535639.6825</v>
      </c>
      <c r="H77" s="70">
        <f t="shared" si="21"/>
        <v>916885.255</v>
      </c>
      <c r="I77" s="70">
        <f t="shared" si="21"/>
        <v>0</v>
      </c>
      <c r="J77" s="70">
        <f t="shared" si="21"/>
        <v>255233.11</v>
      </c>
      <c r="K77" s="70">
        <f t="shared" si="21"/>
        <v>0</v>
      </c>
      <c r="L77" s="70">
        <f t="shared" si="21"/>
        <v>1197291.8274999999</v>
      </c>
      <c r="M77" s="70">
        <f t="shared" si="21"/>
        <v>11920.400000000001</v>
      </c>
      <c r="N77" s="70">
        <f t="shared" si="21"/>
        <v>1185371.4275</v>
      </c>
      <c r="O77" s="70">
        <f t="shared" si="21"/>
        <v>0</v>
      </c>
      <c r="P77" s="70">
        <f t="shared" si="21"/>
        <v>0</v>
      </c>
      <c r="Q77" s="70">
        <f t="shared" si="21"/>
        <v>1185371.4275</v>
      </c>
    </row>
    <row r="78" spans="1:17">
      <c r="A78" s="150" t="s">
        <v>355</v>
      </c>
      <c r="B78" s="48"/>
      <c r="C78" s="48"/>
      <c r="D78" s="43"/>
      <c r="E78" s="173"/>
      <c r="F78" s="64">
        <v>159289942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17">
      <c r="A79" s="151" t="s">
        <v>30</v>
      </c>
      <c r="B79" s="51"/>
      <c r="C79" s="51"/>
      <c r="D79" s="52"/>
      <c r="E79" s="203"/>
      <c r="F79" s="152">
        <f>F77-F78</f>
        <v>34057211.73999998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7">
      <c r="B80" s="51"/>
      <c r="C80" s="51"/>
      <c r="D80" s="52"/>
      <c r="E80" s="203"/>
      <c r="F80" s="5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1:17">
      <c r="A81" s="104" t="s">
        <v>104</v>
      </c>
      <c r="B81" s="48"/>
      <c r="C81" s="48"/>
      <c r="D81" s="43"/>
      <c r="E81" s="17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>
      <c r="B82" s="84"/>
      <c r="C82" s="84"/>
      <c r="D82" s="84"/>
      <c r="E82" s="210"/>
      <c r="F82" s="84"/>
      <c r="G82" s="84"/>
    </row>
    <row r="83" spans="1:17">
      <c r="A83" s="103"/>
      <c r="B83" s="48"/>
      <c r="C83" s="48"/>
      <c r="D83" s="43"/>
      <c r="E83" s="173"/>
      <c r="F83" s="4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17" s="158" customFormat="1">
      <c r="B84" s="159"/>
      <c r="E84" s="168"/>
      <c r="F84" s="14"/>
      <c r="G84" s="181"/>
      <c r="H84" s="181"/>
      <c r="I84" s="181"/>
      <c r="J84" s="181"/>
      <c r="K84" s="181"/>
      <c r="L84" s="181"/>
      <c r="M84" s="181"/>
      <c r="N84" s="181"/>
    </row>
    <row r="85" spans="1:17" s="158" customFormat="1">
      <c r="B85" s="159"/>
      <c r="C85" s="182"/>
      <c r="D85" s="182"/>
      <c r="E85" s="217"/>
      <c r="F85" s="328"/>
      <c r="G85" s="182"/>
      <c r="H85" s="182"/>
      <c r="I85" s="182"/>
      <c r="J85" s="182"/>
      <c r="K85" s="182"/>
      <c r="L85" s="181"/>
      <c r="M85" s="181"/>
      <c r="N85" s="181"/>
    </row>
    <row r="86" spans="1:17">
      <c r="F86" s="328"/>
    </row>
    <row r="87" spans="1:17">
      <c r="F87" s="328"/>
    </row>
    <row r="90" spans="1:17">
      <c r="A90" s="83"/>
      <c r="B90" s="85"/>
      <c r="C90" s="85"/>
      <c r="D90" s="85"/>
      <c r="E90" s="212"/>
      <c r="F90" s="85"/>
      <c r="G90" s="85"/>
    </row>
    <row r="93" spans="1:17">
      <c r="A93" s="50"/>
      <c r="B93" s="50"/>
      <c r="C93" s="50"/>
      <c r="D93" s="50"/>
      <c r="E93" s="211"/>
      <c r="F93" s="50"/>
      <c r="G93" s="50"/>
    </row>
    <row r="94" spans="1:17">
      <c r="A94" s="50"/>
    </row>
    <row r="95" spans="1:17">
      <c r="A95" s="50"/>
      <c r="B95" s="50"/>
      <c r="C95" s="50"/>
      <c r="D95" s="50"/>
      <c r="E95" s="211"/>
      <c r="F95" s="50"/>
      <c r="G95" s="50"/>
    </row>
    <row r="101" spans="1:7">
      <c r="A101" s="50"/>
      <c r="B101" s="84"/>
      <c r="C101" s="84"/>
      <c r="D101" s="84"/>
      <c r="E101" s="210"/>
      <c r="F101" s="84"/>
      <c r="G101" s="84"/>
    </row>
    <row r="103" spans="1:7">
      <c r="A103" s="50"/>
      <c r="B103" s="50"/>
      <c r="C103" s="50"/>
      <c r="D103" s="50"/>
      <c r="E103" s="211"/>
      <c r="F103" s="50"/>
      <c r="G103" s="50"/>
    </row>
    <row r="108" spans="1:7">
      <c r="A108" s="83"/>
      <c r="B108" s="84"/>
      <c r="C108" s="84"/>
      <c r="D108" s="84"/>
      <c r="E108" s="210"/>
      <c r="F108" s="84"/>
      <c r="G108" s="84"/>
    </row>
    <row r="110" spans="1:7">
      <c r="A110" s="50"/>
      <c r="B110" s="50"/>
      <c r="C110" s="50"/>
      <c r="D110" s="50"/>
      <c r="E110" s="211"/>
      <c r="F110" s="50"/>
      <c r="G110" s="50"/>
    </row>
    <row r="115" spans="1:7">
      <c r="A115" s="83"/>
      <c r="B115" s="84"/>
      <c r="C115" s="84"/>
      <c r="D115" s="84"/>
      <c r="E115" s="210"/>
      <c r="F115" s="84"/>
      <c r="G115" s="84"/>
    </row>
    <row r="117" spans="1:7">
      <c r="A117" s="50"/>
      <c r="B117" s="50"/>
      <c r="C117" s="50"/>
      <c r="D117" s="50"/>
      <c r="E117" s="211"/>
      <c r="F117" s="50"/>
      <c r="G117" s="50"/>
    </row>
    <row r="122" spans="1:7">
      <c r="A122" s="83"/>
      <c r="B122" s="84"/>
      <c r="C122" s="84"/>
      <c r="D122" s="84"/>
      <c r="E122" s="210"/>
      <c r="F122" s="84"/>
      <c r="G122" s="84"/>
    </row>
    <row r="124" spans="1:7">
      <c r="A124" s="50"/>
      <c r="B124" s="50"/>
      <c r="C124" s="50"/>
      <c r="D124" s="50"/>
      <c r="E124" s="211"/>
      <c r="F124" s="50"/>
      <c r="G124" s="50"/>
    </row>
    <row r="130" spans="1:7">
      <c r="A130" s="83"/>
      <c r="B130" s="85"/>
      <c r="C130" s="85"/>
      <c r="D130" s="85"/>
      <c r="E130" s="212"/>
      <c r="F130" s="85"/>
      <c r="G130" s="85"/>
    </row>
    <row r="133" spans="1:7">
      <c r="A133" s="50"/>
      <c r="B133" s="50"/>
      <c r="C133" s="50"/>
      <c r="D133" s="50"/>
      <c r="E133" s="211"/>
      <c r="F133" s="50"/>
      <c r="G133" s="50"/>
    </row>
    <row r="134" spans="1:7">
      <c r="A134" s="50"/>
    </row>
    <row r="135" spans="1:7">
      <c r="A135" s="50"/>
      <c r="B135" s="50"/>
      <c r="C135" s="50"/>
      <c r="D135" s="50"/>
      <c r="E135" s="211"/>
      <c r="F135" s="50"/>
      <c r="G135" s="50"/>
    </row>
    <row r="141" spans="1:7">
      <c r="A141" s="50"/>
      <c r="B141" s="84"/>
      <c r="C141" s="84"/>
      <c r="D141" s="84"/>
      <c r="E141" s="210"/>
      <c r="F141" s="84"/>
      <c r="G141" s="84"/>
    </row>
    <row r="143" spans="1:7">
      <c r="A143" s="50"/>
      <c r="B143" s="50"/>
      <c r="C143" s="50"/>
      <c r="D143" s="50"/>
      <c r="E143" s="211"/>
      <c r="F143" s="50"/>
      <c r="G143" s="50"/>
    </row>
    <row r="148" spans="1:7">
      <c r="A148" s="83"/>
      <c r="B148" s="84"/>
      <c r="C148" s="84"/>
      <c r="D148" s="84"/>
      <c r="E148" s="210"/>
      <c r="F148" s="84"/>
      <c r="G148" s="84"/>
    </row>
    <row r="150" spans="1:7">
      <c r="A150" s="50"/>
      <c r="B150" s="50"/>
      <c r="C150" s="50"/>
      <c r="D150" s="50"/>
      <c r="E150" s="211"/>
      <c r="F150" s="50"/>
      <c r="G150" s="50"/>
    </row>
    <row r="155" spans="1:7">
      <c r="A155" s="83"/>
      <c r="B155" s="84"/>
      <c r="C155" s="84"/>
      <c r="D155" s="84"/>
      <c r="E155" s="210"/>
      <c r="F155" s="84"/>
      <c r="G155" s="84"/>
    </row>
    <row r="157" spans="1:7">
      <c r="A157" s="50"/>
      <c r="B157" s="50"/>
      <c r="C157" s="50"/>
      <c r="D157" s="50"/>
      <c r="E157" s="211"/>
      <c r="F157" s="50"/>
      <c r="G157" s="50"/>
    </row>
    <row r="162" spans="1:7">
      <c r="A162" s="83"/>
      <c r="B162" s="84"/>
      <c r="C162" s="84"/>
      <c r="D162" s="84"/>
      <c r="E162" s="210"/>
      <c r="F162" s="84"/>
      <c r="G162" s="84"/>
    </row>
    <row r="164" spans="1:7">
      <c r="A164" s="50"/>
      <c r="B164" s="50"/>
      <c r="C164" s="50"/>
      <c r="D164" s="50"/>
      <c r="E164" s="211"/>
      <c r="F164" s="50"/>
      <c r="G164" s="50"/>
    </row>
    <row r="170" spans="1:7">
      <c r="A170" s="83"/>
      <c r="B170" s="85"/>
      <c r="C170" s="85"/>
      <c r="D170" s="85"/>
      <c r="E170" s="212"/>
      <c r="F170" s="85"/>
      <c r="G170" s="85"/>
    </row>
    <row r="173" spans="1:7">
      <c r="A173" s="50"/>
      <c r="B173" s="50"/>
      <c r="C173" s="50"/>
      <c r="D173" s="50"/>
      <c r="E173" s="211"/>
      <c r="F173" s="50"/>
      <c r="G173" s="50"/>
    </row>
    <row r="174" spans="1:7">
      <c r="A174" s="50"/>
    </row>
    <row r="175" spans="1:7">
      <c r="A175" s="50"/>
      <c r="B175" s="50"/>
      <c r="C175" s="50"/>
      <c r="D175" s="50"/>
      <c r="E175" s="211"/>
      <c r="F175" s="50"/>
      <c r="G175" s="50"/>
    </row>
    <row r="181" spans="1:7">
      <c r="A181" s="50"/>
      <c r="B181" s="84"/>
      <c r="C181" s="84"/>
      <c r="D181" s="84"/>
      <c r="E181" s="210"/>
      <c r="F181" s="84"/>
      <c r="G181" s="84"/>
    </row>
    <row r="183" spans="1:7">
      <c r="A183" s="50"/>
      <c r="B183" s="50"/>
      <c r="C183" s="50"/>
      <c r="D183" s="50"/>
      <c r="E183" s="211"/>
      <c r="F183" s="50"/>
      <c r="G183" s="50"/>
    </row>
    <row r="188" spans="1:7">
      <c r="A188" s="83"/>
      <c r="B188" s="84"/>
      <c r="C188" s="84"/>
      <c r="D188" s="84"/>
      <c r="E188" s="210"/>
      <c r="F188" s="84"/>
      <c r="G188" s="84"/>
    </row>
    <row r="190" spans="1:7">
      <c r="A190" s="50"/>
      <c r="B190" s="50"/>
      <c r="C190" s="50"/>
      <c r="D190" s="50"/>
      <c r="E190" s="211"/>
      <c r="F190" s="50"/>
      <c r="G190" s="50"/>
    </row>
    <row r="195" spans="1:7">
      <c r="A195" s="83"/>
      <c r="B195" s="84"/>
      <c r="C195" s="84"/>
      <c r="D195" s="84"/>
      <c r="E195" s="210"/>
      <c r="F195" s="84"/>
      <c r="G195" s="84"/>
    </row>
    <row r="197" spans="1:7">
      <c r="A197" s="50"/>
      <c r="B197" s="50"/>
      <c r="C197" s="50"/>
      <c r="D197" s="50"/>
      <c r="E197" s="211"/>
      <c r="F197" s="50"/>
      <c r="G197" s="50"/>
    </row>
    <row r="202" spans="1:7">
      <c r="A202" s="83"/>
      <c r="B202" s="84"/>
      <c r="C202" s="84"/>
      <c r="D202" s="84"/>
      <c r="E202" s="210"/>
      <c r="F202" s="84"/>
      <c r="G202" s="84"/>
    </row>
    <row r="204" spans="1:7">
      <c r="A204" s="50"/>
      <c r="B204" s="50"/>
      <c r="C204" s="50"/>
      <c r="D204" s="50"/>
      <c r="E204" s="211"/>
      <c r="F204" s="50"/>
      <c r="G204" s="50"/>
    </row>
    <row r="210" spans="1:7">
      <c r="A210" s="83"/>
      <c r="B210" s="85"/>
      <c r="C210" s="85"/>
      <c r="D210" s="85"/>
      <c r="E210" s="212"/>
      <c r="F210" s="85"/>
      <c r="G210" s="85"/>
    </row>
    <row r="213" spans="1:7">
      <c r="A213" s="50"/>
      <c r="B213" s="50"/>
      <c r="C213" s="50"/>
      <c r="D213" s="50"/>
      <c r="E213" s="211"/>
      <c r="F213" s="50"/>
      <c r="G213" s="50"/>
    </row>
    <row r="214" spans="1:7">
      <c r="A214" s="50"/>
    </row>
    <row r="215" spans="1:7">
      <c r="A215" s="50"/>
      <c r="B215" s="50"/>
      <c r="C215" s="50"/>
      <c r="D215" s="50"/>
      <c r="E215" s="211"/>
      <c r="F215" s="50"/>
      <c r="G215" s="50"/>
    </row>
    <row r="221" spans="1:7">
      <c r="A221" s="50"/>
      <c r="B221" s="84"/>
      <c r="C221" s="84"/>
      <c r="D221" s="84"/>
      <c r="E221" s="210"/>
      <c r="F221" s="84"/>
      <c r="G221" s="84"/>
    </row>
    <row r="223" spans="1:7">
      <c r="A223" s="50"/>
      <c r="B223" s="50"/>
      <c r="C223" s="50"/>
      <c r="D223" s="50"/>
      <c r="E223" s="211"/>
      <c r="F223" s="50"/>
      <c r="G223" s="50"/>
    </row>
    <row r="228" spans="1:7">
      <c r="A228" s="83"/>
      <c r="B228" s="84"/>
      <c r="C228" s="84"/>
      <c r="D228" s="84"/>
      <c r="E228" s="210"/>
      <c r="F228" s="84"/>
      <c r="G228" s="84"/>
    </row>
    <row r="230" spans="1:7">
      <c r="A230" s="50"/>
      <c r="B230" s="50"/>
      <c r="C230" s="50"/>
      <c r="D230" s="50"/>
      <c r="E230" s="211"/>
      <c r="F230" s="50"/>
      <c r="G230" s="50"/>
    </row>
    <row r="235" spans="1:7">
      <c r="A235" s="83"/>
      <c r="B235" s="84"/>
      <c r="C235" s="84"/>
      <c r="D235" s="84"/>
      <c r="E235" s="210"/>
      <c r="F235" s="84"/>
      <c r="G235" s="84"/>
    </row>
    <row r="237" spans="1:7">
      <c r="A237" s="50"/>
      <c r="B237" s="50"/>
      <c r="C237" s="50"/>
      <c r="D237" s="50"/>
      <c r="E237" s="211"/>
      <c r="F237" s="50"/>
      <c r="G237" s="50"/>
    </row>
    <row r="242" spans="1:7">
      <c r="A242" s="83"/>
      <c r="B242" s="84"/>
      <c r="C242" s="84"/>
      <c r="D242" s="84"/>
      <c r="E242" s="210"/>
      <c r="F242" s="84"/>
      <c r="G242" s="84"/>
    </row>
    <row r="244" spans="1:7">
      <c r="A244" s="50"/>
      <c r="B244" s="50"/>
      <c r="C244" s="50"/>
      <c r="D244" s="50"/>
      <c r="E244" s="211"/>
      <c r="F244" s="50"/>
      <c r="G244" s="50"/>
    </row>
    <row r="250" spans="1:7">
      <c r="A250" s="83"/>
      <c r="B250" s="85"/>
      <c r="C250" s="85"/>
      <c r="D250" s="85"/>
      <c r="E250" s="212"/>
      <c r="F250" s="85"/>
      <c r="G250" s="85"/>
    </row>
    <row r="253" spans="1:7">
      <c r="A253" s="50"/>
      <c r="B253" s="50"/>
      <c r="C253" s="50"/>
      <c r="D253" s="50"/>
      <c r="E253" s="211"/>
      <c r="F253" s="50"/>
      <c r="G253" s="50"/>
    </row>
    <row r="254" spans="1:7">
      <c r="A254" s="50"/>
    </row>
    <row r="255" spans="1:7">
      <c r="A255" s="50"/>
      <c r="B255" s="50"/>
      <c r="C255" s="50"/>
      <c r="D255" s="50"/>
      <c r="E255" s="211"/>
      <c r="F255" s="50"/>
      <c r="G255" s="50"/>
    </row>
    <row r="261" spans="1:7">
      <c r="A261" s="50"/>
      <c r="B261" s="84"/>
      <c r="C261" s="84"/>
      <c r="D261" s="84"/>
      <c r="E261" s="210"/>
      <c r="F261" s="84"/>
      <c r="G261" s="84"/>
    </row>
    <row r="263" spans="1:7">
      <c r="A263" s="50"/>
      <c r="B263" s="50"/>
      <c r="C263" s="50"/>
      <c r="D263" s="50"/>
      <c r="E263" s="211"/>
      <c r="F263" s="50"/>
      <c r="G263" s="50"/>
    </row>
    <row r="268" spans="1:7">
      <c r="A268" s="83"/>
      <c r="B268" s="84"/>
      <c r="C268" s="84"/>
      <c r="D268" s="84"/>
      <c r="E268" s="210"/>
      <c r="F268" s="84"/>
      <c r="G268" s="84"/>
    </row>
    <row r="270" spans="1:7">
      <c r="A270" s="50"/>
      <c r="B270" s="50"/>
      <c r="C270" s="50"/>
      <c r="D270" s="50"/>
      <c r="E270" s="211"/>
      <c r="F270" s="50"/>
      <c r="G270" s="50"/>
    </row>
    <row r="275" spans="1:7">
      <c r="A275" s="83"/>
      <c r="B275" s="84"/>
      <c r="C275" s="84"/>
      <c r="D275" s="84"/>
      <c r="E275" s="210"/>
      <c r="F275" s="84"/>
      <c r="G275" s="84"/>
    </row>
    <row r="277" spans="1:7">
      <c r="A277" s="50"/>
      <c r="B277" s="50"/>
      <c r="C277" s="50"/>
      <c r="D277" s="50"/>
      <c r="E277" s="211"/>
      <c r="F277" s="50"/>
      <c r="G277" s="50"/>
    </row>
    <row r="282" spans="1:7">
      <c r="A282" s="83"/>
      <c r="B282" s="84"/>
      <c r="C282" s="84"/>
      <c r="D282" s="84"/>
      <c r="E282" s="210"/>
      <c r="F282" s="84"/>
      <c r="G282" s="84"/>
    </row>
    <row r="284" spans="1:7">
      <c r="A284" s="50"/>
      <c r="B284" s="50"/>
      <c r="C284" s="50"/>
      <c r="D284" s="50"/>
      <c r="E284" s="211"/>
      <c r="F284" s="50"/>
      <c r="G284" s="50"/>
    </row>
    <row r="290" spans="1:7">
      <c r="A290" s="83"/>
      <c r="B290" s="85"/>
      <c r="C290" s="85"/>
      <c r="D290" s="85"/>
      <c r="E290" s="212"/>
      <c r="F290" s="85"/>
      <c r="G290" s="85"/>
    </row>
    <row r="291" spans="1:7" ht="16.5" customHeight="1"/>
    <row r="293" spans="1:7">
      <c r="A293" s="50"/>
      <c r="B293" s="50"/>
      <c r="C293" s="50"/>
      <c r="D293" s="50"/>
      <c r="E293" s="211"/>
      <c r="F293" s="50"/>
      <c r="G293" s="50"/>
    </row>
    <row r="294" spans="1:7">
      <c r="A294" s="50"/>
    </row>
    <row r="295" spans="1:7">
      <c r="A295" s="50"/>
      <c r="B295" s="50"/>
      <c r="C295" s="50"/>
      <c r="D295" s="50"/>
      <c r="E295" s="211"/>
      <c r="F295" s="50"/>
      <c r="G295" s="50"/>
    </row>
    <row r="301" spans="1:7">
      <c r="A301" s="50"/>
      <c r="B301" s="84"/>
      <c r="C301" s="84"/>
      <c r="D301" s="84"/>
      <c r="E301" s="210"/>
      <c r="F301" s="84"/>
      <c r="G301" s="84"/>
    </row>
    <row r="303" spans="1:7">
      <c r="A303" s="50"/>
      <c r="B303" s="50"/>
      <c r="C303" s="50"/>
      <c r="D303" s="50"/>
      <c r="E303" s="211"/>
      <c r="F303" s="50"/>
      <c r="G303" s="50"/>
    </row>
    <row r="308" spans="1:7">
      <c r="A308" s="83"/>
      <c r="B308" s="84"/>
      <c r="C308" s="84"/>
      <c r="D308" s="84"/>
      <c r="E308" s="210"/>
      <c r="F308" s="84"/>
      <c r="G308" s="84"/>
    </row>
    <row r="310" spans="1:7">
      <c r="A310" s="50"/>
      <c r="B310" s="50"/>
      <c r="C310" s="50"/>
      <c r="D310" s="50"/>
      <c r="E310" s="211"/>
      <c r="F310" s="50"/>
      <c r="G310" s="50"/>
    </row>
    <row r="315" spans="1:7">
      <c r="A315" s="83"/>
      <c r="B315" s="84"/>
      <c r="C315" s="84"/>
      <c r="D315" s="84"/>
      <c r="E315" s="210"/>
      <c r="F315" s="84"/>
      <c r="G315" s="84"/>
    </row>
    <row r="317" spans="1:7">
      <c r="A317" s="50"/>
      <c r="B317" s="50"/>
      <c r="C317" s="50"/>
      <c r="D317" s="50"/>
      <c r="E317" s="211"/>
      <c r="F317" s="50"/>
      <c r="G317" s="50"/>
    </row>
    <row r="322" spans="1:7">
      <c r="A322" s="83"/>
      <c r="B322" s="84"/>
      <c r="C322" s="84"/>
      <c r="D322" s="84"/>
      <c r="E322" s="210"/>
      <c r="F322" s="84"/>
      <c r="G322" s="84"/>
    </row>
    <row r="324" spans="1:7">
      <c r="A324" s="50"/>
      <c r="B324" s="50"/>
      <c r="C324" s="50"/>
      <c r="D324" s="50"/>
      <c r="E324" s="211"/>
      <c r="F324" s="50"/>
      <c r="G324" s="50"/>
    </row>
    <row r="330" spans="1:7">
      <c r="A330" s="83"/>
      <c r="B330" s="85"/>
      <c r="C330" s="85"/>
      <c r="D330" s="85"/>
      <c r="E330" s="212"/>
      <c r="F330" s="85"/>
      <c r="G330" s="85"/>
    </row>
    <row r="333" spans="1:7">
      <c r="A333" s="50"/>
      <c r="B333" s="50"/>
      <c r="C333" s="50"/>
      <c r="D333" s="50"/>
      <c r="E333" s="211"/>
      <c r="F333" s="50"/>
      <c r="G333" s="50"/>
    </row>
    <row r="334" spans="1:7">
      <c r="A334" s="50"/>
    </row>
    <row r="335" spans="1:7">
      <c r="A335" s="50"/>
      <c r="B335" s="50"/>
      <c r="C335" s="50"/>
      <c r="D335" s="50"/>
      <c r="E335" s="211"/>
      <c r="F335" s="50"/>
      <c r="G335" s="50"/>
    </row>
    <row r="341" spans="1:7">
      <c r="A341" s="50"/>
      <c r="B341" s="84"/>
      <c r="C341" s="84"/>
      <c r="D341" s="84"/>
      <c r="E341" s="210"/>
      <c r="F341" s="84"/>
      <c r="G341" s="84"/>
    </row>
    <row r="343" spans="1:7">
      <c r="A343" s="50"/>
      <c r="B343" s="50"/>
      <c r="C343" s="50"/>
      <c r="D343" s="50"/>
      <c r="E343" s="211"/>
      <c r="F343" s="50"/>
      <c r="G343" s="50"/>
    </row>
    <row r="348" spans="1:7">
      <c r="A348" s="83"/>
      <c r="B348" s="84"/>
      <c r="C348" s="84"/>
      <c r="D348" s="84"/>
      <c r="E348" s="210"/>
      <c r="F348" s="84"/>
      <c r="G348" s="84"/>
    </row>
    <row r="350" spans="1:7">
      <c r="A350" s="50"/>
      <c r="B350" s="50"/>
      <c r="C350" s="50"/>
      <c r="D350" s="50"/>
      <c r="E350" s="211"/>
      <c r="F350" s="50"/>
      <c r="G350" s="50"/>
    </row>
    <row r="355" spans="1:7">
      <c r="A355" s="83"/>
      <c r="B355" s="84"/>
      <c r="C355" s="84"/>
      <c r="D355" s="84"/>
      <c r="E355" s="210"/>
      <c r="F355" s="84"/>
      <c r="G355" s="84"/>
    </row>
    <row r="357" spans="1:7">
      <c r="A357" s="50"/>
      <c r="B357" s="50"/>
      <c r="C357" s="50"/>
      <c r="D357" s="50"/>
      <c r="E357" s="211"/>
      <c r="F357" s="50"/>
      <c r="G357" s="50"/>
    </row>
    <row r="362" spans="1:7">
      <c r="A362" s="83"/>
      <c r="B362" s="84"/>
      <c r="C362" s="84"/>
      <c r="D362" s="84"/>
      <c r="E362" s="210"/>
      <c r="F362" s="84"/>
      <c r="G362" s="84"/>
    </row>
    <row r="364" spans="1:7">
      <c r="A364" s="50"/>
      <c r="B364" s="50"/>
      <c r="C364" s="50"/>
      <c r="D364" s="50"/>
      <c r="E364" s="211"/>
      <c r="F364" s="50"/>
      <c r="G364" s="50"/>
    </row>
    <row r="370" spans="1:7">
      <c r="A370" s="83"/>
      <c r="B370" s="85"/>
      <c r="C370" s="85"/>
      <c r="D370" s="85"/>
      <c r="E370" s="212"/>
      <c r="F370" s="85"/>
      <c r="G370" s="85"/>
    </row>
    <row r="373" spans="1:7">
      <c r="A373" s="50"/>
      <c r="B373" s="50"/>
      <c r="C373" s="50"/>
      <c r="D373" s="50"/>
      <c r="E373" s="211"/>
      <c r="F373" s="50"/>
      <c r="G373" s="50"/>
    </row>
    <row r="374" spans="1:7">
      <c r="A374" s="50"/>
    </row>
    <row r="375" spans="1:7">
      <c r="A375" s="50"/>
      <c r="B375" s="50"/>
      <c r="C375" s="50"/>
      <c r="D375" s="50"/>
      <c r="E375" s="211"/>
      <c r="F375" s="50"/>
      <c r="G375" s="50"/>
    </row>
    <row r="381" spans="1:7">
      <c r="A381" s="50"/>
      <c r="B381" s="84"/>
      <c r="C381" s="84"/>
      <c r="D381" s="84"/>
      <c r="E381" s="210"/>
      <c r="F381" s="84"/>
      <c r="G381" s="84"/>
    </row>
    <row r="383" spans="1:7">
      <c r="A383" s="50"/>
      <c r="B383" s="50"/>
      <c r="C383" s="50"/>
      <c r="D383" s="50"/>
      <c r="E383" s="211"/>
      <c r="F383" s="50"/>
      <c r="G383" s="50"/>
    </row>
    <row r="388" spans="1:7">
      <c r="A388" s="83"/>
      <c r="B388" s="84"/>
      <c r="C388" s="84"/>
      <c r="D388" s="84"/>
      <c r="E388" s="210"/>
      <c r="F388" s="84"/>
      <c r="G388" s="84"/>
    </row>
    <row r="390" spans="1:7">
      <c r="A390" s="50"/>
      <c r="B390" s="50"/>
      <c r="C390" s="50"/>
      <c r="D390" s="50"/>
      <c r="E390" s="211"/>
      <c r="F390" s="50"/>
      <c r="G390" s="50"/>
    </row>
    <row r="395" spans="1:7">
      <c r="A395" s="83"/>
      <c r="B395" s="84"/>
      <c r="C395" s="84"/>
      <c r="D395" s="84"/>
      <c r="E395" s="210"/>
      <c r="F395" s="84"/>
      <c r="G395" s="84"/>
    </row>
    <row r="397" spans="1:7">
      <c r="A397" s="50"/>
      <c r="B397" s="50"/>
      <c r="C397" s="50"/>
      <c r="D397" s="50"/>
      <c r="E397" s="211"/>
      <c r="F397" s="50"/>
      <c r="G397" s="50"/>
    </row>
    <row r="402" spans="1:7">
      <c r="A402" s="83"/>
      <c r="B402" s="84"/>
      <c r="C402" s="84"/>
      <c r="D402" s="84"/>
      <c r="E402" s="210"/>
      <c r="F402" s="84"/>
      <c r="G402" s="84"/>
    </row>
    <row r="404" spans="1:7">
      <c r="A404" s="50"/>
      <c r="B404" s="50"/>
      <c r="C404" s="50"/>
      <c r="D404" s="50"/>
      <c r="E404" s="211"/>
      <c r="F404" s="50"/>
      <c r="G404" s="50"/>
    </row>
    <row r="410" spans="1:7">
      <c r="A410" s="83"/>
      <c r="B410" s="85"/>
      <c r="C410" s="85"/>
      <c r="D410" s="85"/>
      <c r="E410" s="212"/>
      <c r="F410" s="85"/>
      <c r="G410" s="85"/>
    </row>
    <row r="415" spans="1:7">
      <c r="A415" s="50"/>
    </row>
    <row r="416" spans="1:7">
      <c r="A416" s="50"/>
    </row>
    <row r="417" spans="1:1">
      <c r="A417" s="50"/>
    </row>
    <row r="418" spans="1:1">
      <c r="A418" s="50"/>
    </row>
  </sheetData>
  <customSheetViews>
    <customSheetView guid="{AE6F0488-1842-4C89-B05F-A836B633FB8F}" scale="75" showPageBreaks="1" hiddenColumns="1" showRuler="0">
      <pane xSplit="1" ySplit="3" topLeftCell="B4" activePane="bottomRight" state="frozen"/>
      <selection pane="bottomRight" activeCell="F60" sqref="F60:K60"/>
      <rowBreaks count="1" manualBreakCount="1">
        <brk id="48" max="16" man="1"/>
      </rowBreaks>
      <pageMargins left="0.17" right="0.16" top="0.91" bottom="0.9" header="0.4" footer="0.35"/>
      <pageSetup paperSize="5" scale="70" firstPageNumber="35" orientation="landscape" useFirstPageNumber="1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C4" sqref="C4"/>
      <rowBreaks count="1" manualBreakCount="1">
        <brk id="47" max="16" man="1"/>
      </rowBreaks>
      <pageMargins left="0.17" right="0.16" top="0.91" bottom="0.9" header="0.4" footer="0.35"/>
      <pageSetup paperSize="5" scale="70" firstPageNumber="35" orientation="landscape" useFirstPageNumber="1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4" activePane="bottomRight" state="frozen"/>
      <selection pane="bottomRight" activeCell="F49" sqref="F49"/>
      <rowBreaks count="1" manualBreakCount="1">
        <brk id="48" max="16" man="1"/>
      </rowBreaks>
      <pageMargins left="0.17" right="0.16" top="0.91" bottom="0.9" header="0.4" footer="0.35"/>
      <pageSetup paperSize="5" scale="70" firstPageNumber="35" orientation="landscape" useFirstPageNumber="1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61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2" manualBreakCount="2">
    <brk id="52" max="16" man="1"/>
    <brk id="79" max="16" man="1"/>
  </rowBreaks>
  <legacy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79998168889431442"/>
    <pageSetUpPr fitToPage="1"/>
  </sheetPr>
  <dimension ref="A1:Y333"/>
  <sheetViews>
    <sheetView view="pageBreakPreview" zoomScale="84" zoomScaleNormal="75" zoomScaleSheetLayoutView="84" workbookViewId="0">
      <pane ySplit="3" topLeftCell="A4" activePane="bottomLeft" state="frozen"/>
      <selection activeCell="A3" sqref="A3"/>
      <selection pane="bottomLeft" activeCell="A3" sqref="A3"/>
    </sheetView>
  </sheetViews>
  <sheetFormatPr defaultColWidth="9.140625" defaultRowHeight="12.75"/>
  <cols>
    <col min="1" max="1" width="31.28515625" style="49" customWidth="1"/>
    <col min="2" max="2" width="13.5703125" style="82" customWidth="1"/>
    <col min="3" max="3" width="11.42578125" style="82" customWidth="1"/>
    <col min="4" max="4" width="13.140625" style="82" customWidth="1"/>
    <col min="5" max="5" width="13.140625" style="209" hidden="1" customWidth="1"/>
    <col min="6" max="6" width="22.28515625" style="82" customWidth="1"/>
    <col min="7" max="7" width="16.5703125" style="82" customWidth="1"/>
    <col min="8" max="8" width="19" style="49" bestFit="1" customWidth="1"/>
    <col min="9" max="9" width="15.85546875" style="49" customWidth="1"/>
    <col min="10" max="10" width="16.85546875" style="49" customWidth="1"/>
    <col min="11" max="11" width="15.85546875" style="49" customWidth="1"/>
    <col min="12" max="12" width="18.7109375" style="49" customWidth="1"/>
    <col min="13" max="13" width="16.85546875" style="49" bestFit="1" customWidth="1"/>
    <col min="14" max="14" width="18.42578125" style="49" customWidth="1"/>
    <col min="15" max="15" width="15.28515625" style="49" customWidth="1"/>
    <col min="16" max="16" width="17.5703125" style="49" customWidth="1"/>
    <col min="17" max="17" width="21" style="49" customWidth="1"/>
    <col min="18" max="18" width="10.7109375" style="49" customWidth="1"/>
    <col min="19" max="19" width="11.28515625" style="49" customWidth="1"/>
    <col min="20" max="20" width="14.7109375" style="49" bestFit="1" customWidth="1"/>
    <col min="21" max="21" width="13" style="49" customWidth="1"/>
    <col min="22" max="24" width="17.140625" style="49" customWidth="1"/>
    <col min="25" max="16384" width="9.140625" style="49"/>
  </cols>
  <sheetData>
    <row r="1" spans="1:25" ht="15.75">
      <c r="A1" s="1" t="s">
        <v>105</v>
      </c>
      <c r="B1" s="48"/>
      <c r="C1" s="48"/>
      <c r="D1" s="43"/>
      <c r="E1" s="17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>
      <c r="A2" s="154"/>
      <c r="B2" s="164">
        <v>-1</v>
      </c>
      <c r="C2" s="164">
        <v>-2</v>
      </c>
      <c r="D2" s="164">
        <v>-3</v>
      </c>
      <c r="E2" s="201"/>
      <c r="F2" s="164">
        <v>-4</v>
      </c>
      <c r="G2" s="164">
        <v>-5</v>
      </c>
      <c r="H2" s="164">
        <v>-6</v>
      </c>
      <c r="I2" s="164">
        <v>-7</v>
      </c>
      <c r="J2" s="164">
        <v>-8</v>
      </c>
      <c r="K2" s="164">
        <v>-9</v>
      </c>
      <c r="L2" s="164">
        <v>-10</v>
      </c>
      <c r="M2" s="164">
        <v>-11</v>
      </c>
      <c r="N2" s="164">
        <v>-12</v>
      </c>
      <c r="O2" s="164">
        <v>-13</v>
      </c>
      <c r="P2" s="164">
        <v>-14</v>
      </c>
      <c r="Q2" s="164">
        <v>-15</v>
      </c>
      <c r="R2" s="164"/>
      <c r="S2" s="164"/>
    </row>
    <row r="3" spans="1:25" s="9" customFormat="1" ht="77.25" thickBot="1">
      <c r="A3" s="6" t="s">
        <v>1</v>
      </c>
      <c r="B3" s="7" t="str">
        <f>'Carson City'!B3</f>
        <v xml:space="preserve">PROPOSED FY 27 TAX RATE   </v>
      </c>
      <c r="C3" s="7" t="str">
        <f>'Carson City'!C3</f>
        <v xml:space="preserve">FY 27 EXEMPT RATE          </v>
      </c>
      <c r="D3" s="8" t="s">
        <v>2</v>
      </c>
      <c r="E3" s="202" t="s">
        <v>370</v>
      </c>
      <c r="F3" s="8" t="s">
        <v>352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353</v>
      </c>
      <c r="M3" s="8" t="s">
        <v>8</v>
      </c>
      <c r="N3" s="8" t="s">
        <v>354</v>
      </c>
      <c r="O3" s="8" t="s">
        <v>9</v>
      </c>
      <c r="P3" s="8" t="s">
        <v>397</v>
      </c>
      <c r="Q3" s="8" t="s">
        <v>418</v>
      </c>
    </row>
    <row r="4" spans="1:25">
      <c r="A4" s="50"/>
      <c r="B4" s="43"/>
      <c r="C4" s="51"/>
      <c r="D4" s="52"/>
      <c r="E4" s="203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25">
      <c r="A5" s="54" t="s">
        <v>10</v>
      </c>
      <c r="B5" s="51"/>
      <c r="C5" s="51"/>
      <c r="D5" s="52"/>
      <c r="E5" s="203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5">
      <c r="A6" s="50"/>
      <c r="B6" s="51"/>
      <c r="C6" s="51"/>
      <c r="D6" s="52"/>
      <c r="E6" s="203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5">
      <c r="A7" s="47" t="str">
        <f>A19</f>
        <v>STATE OF NEVADA</v>
      </c>
      <c r="B7" s="48">
        <f t="shared" ref="B7:Q7" si="0">B28</f>
        <v>0.17</v>
      </c>
      <c r="C7" s="48">
        <f t="shared" si="0"/>
        <v>0</v>
      </c>
      <c r="D7" s="43">
        <f>D28</f>
        <v>3843</v>
      </c>
      <c r="E7" s="173"/>
      <c r="F7" s="43">
        <f t="shared" si="0"/>
        <v>889897215.16235304</v>
      </c>
      <c r="G7" s="53">
        <f t="shared" si="0"/>
        <v>286794.40000000002</v>
      </c>
      <c r="H7" s="53">
        <f t="shared" si="0"/>
        <v>1829971.3281</v>
      </c>
      <c r="I7" s="53">
        <f t="shared" si="0"/>
        <v>0</v>
      </c>
      <c r="J7" s="53">
        <f t="shared" si="0"/>
        <v>603942.01</v>
      </c>
      <c r="K7" s="53">
        <f t="shared" si="0"/>
        <v>4.92</v>
      </c>
      <c r="L7" s="53">
        <f t="shared" si="0"/>
        <v>1512828.6381000001</v>
      </c>
      <c r="M7" s="53">
        <f t="shared" si="0"/>
        <v>30764.959999999999</v>
      </c>
      <c r="N7" s="53">
        <f t="shared" si="0"/>
        <v>1482063.6780999999</v>
      </c>
      <c r="O7" s="53">
        <f t="shared" si="0"/>
        <v>0</v>
      </c>
      <c r="P7" s="53">
        <f>P28</f>
        <v>96930.95</v>
      </c>
      <c r="Q7" s="53">
        <f t="shared" si="0"/>
        <v>1385132.7280999999</v>
      </c>
      <c r="W7" s="174" t="s">
        <v>15</v>
      </c>
      <c r="X7" s="284">
        <f>N21+Q48+Q68+Q93+Q105+Q139</f>
        <v>14487215.590000002</v>
      </c>
      <c r="Y7" s="390" t="s">
        <v>461</v>
      </c>
    </row>
    <row r="8" spans="1:25">
      <c r="A8" s="49" t="str">
        <f>A31</f>
        <v>GENERAL COUNTY</v>
      </c>
      <c r="B8" s="48">
        <f t="shared" ref="B8:Q8" si="1">B56</f>
        <v>1.1457999999999999</v>
      </c>
      <c r="C8" s="48">
        <f t="shared" si="1"/>
        <v>0</v>
      </c>
      <c r="D8" s="43">
        <f t="shared" si="1"/>
        <v>3843</v>
      </c>
      <c r="E8" s="173"/>
      <c r="F8" s="43">
        <f t="shared" si="1"/>
        <v>889897226.9968791</v>
      </c>
      <c r="G8" s="53">
        <f t="shared" si="1"/>
        <v>1932994.3468000002</v>
      </c>
      <c r="H8" s="53">
        <f t="shared" si="1"/>
        <v>12334014.880794</v>
      </c>
      <c r="I8" s="53">
        <f t="shared" si="1"/>
        <v>0</v>
      </c>
      <c r="J8" s="53">
        <f t="shared" si="1"/>
        <v>4070562.2800000003</v>
      </c>
      <c r="K8" s="53">
        <f t="shared" si="1"/>
        <v>33.109999999999992</v>
      </c>
      <c r="L8" s="53">
        <f t="shared" si="1"/>
        <v>10196480.057594001</v>
      </c>
      <c r="M8" s="53">
        <f t="shared" si="1"/>
        <v>321790.19</v>
      </c>
      <c r="N8" s="53">
        <f t="shared" si="1"/>
        <v>9874689.867594</v>
      </c>
      <c r="O8" s="53">
        <f t="shared" si="1"/>
        <v>0</v>
      </c>
      <c r="P8" s="53">
        <f>P56</f>
        <v>653314.65999999992</v>
      </c>
      <c r="Q8" s="53">
        <f t="shared" si="1"/>
        <v>9221375.2075939998</v>
      </c>
      <c r="W8" s="171" t="s">
        <v>16</v>
      </c>
      <c r="X8" s="284">
        <f t="shared" ref="X8:X13" si="2">Q22+Q50+Q69+Q94+Q106+Q140</f>
        <v>793188.50103600021</v>
      </c>
    </row>
    <row r="9" spans="1:25">
      <c r="A9" s="47" t="str">
        <f>A66</f>
        <v>SCHOOL DISTRICT</v>
      </c>
      <c r="B9" s="48">
        <f t="shared" ref="B9:Q9" si="3">B88</f>
        <v>0.75</v>
      </c>
      <c r="C9" s="48">
        <f t="shared" si="3"/>
        <v>0</v>
      </c>
      <c r="D9" s="43">
        <f t="shared" si="3"/>
        <v>3843</v>
      </c>
      <c r="E9" s="173"/>
      <c r="F9" s="43">
        <f t="shared" si="3"/>
        <v>889897213.28000009</v>
      </c>
      <c r="G9" s="53">
        <f t="shared" si="3"/>
        <v>1265269.49</v>
      </c>
      <c r="H9" s="53">
        <f t="shared" si="3"/>
        <v>8073406.5674999999</v>
      </c>
      <c r="I9" s="53">
        <f t="shared" si="3"/>
        <v>0</v>
      </c>
      <c r="J9" s="53">
        <f t="shared" si="3"/>
        <v>2664450.23</v>
      </c>
      <c r="K9" s="53">
        <f t="shared" si="3"/>
        <v>21.67</v>
      </c>
      <c r="L9" s="53">
        <f>L88</f>
        <v>6674247.4975000005</v>
      </c>
      <c r="M9" s="53">
        <f t="shared" si="3"/>
        <v>135728.54999999999</v>
      </c>
      <c r="N9" s="53">
        <f t="shared" si="3"/>
        <v>6538518.9474999998</v>
      </c>
      <c r="O9" s="53">
        <f t="shared" si="3"/>
        <v>0</v>
      </c>
      <c r="P9" s="53">
        <f>P88</f>
        <v>427636.57</v>
      </c>
      <c r="Q9" s="53">
        <f t="shared" si="3"/>
        <v>6110882.3774999995</v>
      </c>
      <c r="W9" s="171" t="s">
        <v>17</v>
      </c>
      <c r="X9" s="284">
        <f t="shared" si="2"/>
        <v>594279.62591800001</v>
      </c>
    </row>
    <row r="10" spans="1:25">
      <c r="A10" s="49" t="str">
        <f>A91</f>
        <v>CRESCENT VALLEY TOWN</v>
      </c>
      <c r="B10" s="48">
        <f t="shared" ref="B10:Q10" si="4">B100</f>
        <v>0.21529999999999999</v>
      </c>
      <c r="C10" s="48">
        <f t="shared" si="4"/>
        <v>0</v>
      </c>
      <c r="D10" s="43">
        <f t="shared" si="4"/>
        <v>493</v>
      </c>
      <c r="E10" s="173"/>
      <c r="F10" s="43">
        <f t="shared" si="4"/>
        <v>8696521.1639433354</v>
      </c>
      <c r="G10" s="53">
        <f t="shared" si="4"/>
        <v>4026.2795040000001</v>
      </c>
      <c r="H10" s="53">
        <f t="shared" si="4"/>
        <v>14822.853536000001</v>
      </c>
      <c r="I10" s="53">
        <f t="shared" si="4"/>
        <v>0</v>
      </c>
      <c r="J10" s="53">
        <f t="shared" si="4"/>
        <v>172.42000000000002</v>
      </c>
      <c r="K10" s="53">
        <f t="shared" si="4"/>
        <v>3.2</v>
      </c>
      <c r="L10" s="53">
        <f t="shared" si="4"/>
        <v>18679.913040000003</v>
      </c>
      <c r="M10" s="53">
        <f t="shared" si="4"/>
        <v>1530.06</v>
      </c>
      <c r="N10" s="53">
        <f t="shared" si="4"/>
        <v>17149.853040000005</v>
      </c>
      <c r="O10" s="53">
        <f t="shared" si="4"/>
        <v>0</v>
      </c>
      <c r="P10" s="53">
        <f>P100</f>
        <v>0</v>
      </c>
      <c r="Q10" s="53">
        <f t="shared" si="4"/>
        <v>17149.853040000005</v>
      </c>
      <c r="R10" s="18">
        <f>SUM(L10:L11)</f>
        <v>64781.620855000001</v>
      </c>
      <c r="S10" s="53">
        <f>SUM(Q10:Q11)</f>
        <v>59384.210854999998</v>
      </c>
      <c r="W10" s="171" t="s">
        <v>18</v>
      </c>
      <c r="X10" s="284">
        <f t="shared" si="2"/>
        <v>0</v>
      </c>
    </row>
    <row r="11" spans="1:25">
      <c r="A11" s="49" t="str">
        <f>A103</f>
        <v>EUREKA TOWN</v>
      </c>
      <c r="B11" s="48">
        <f t="shared" ref="B11:Q11" si="5">B112</f>
        <v>0.21529999999999999</v>
      </c>
      <c r="C11" s="48">
        <f t="shared" si="5"/>
        <v>0</v>
      </c>
      <c r="D11" s="43">
        <f t="shared" si="5"/>
        <v>401</v>
      </c>
      <c r="E11" s="173"/>
      <c r="F11" s="43">
        <f t="shared" si="5"/>
        <v>21431220.334528565</v>
      </c>
      <c r="G11" s="53">
        <f t="shared" si="5"/>
        <v>1173.0337320000001</v>
      </c>
      <c r="H11" s="53">
        <f t="shared" si="5"/>
        <v>44989.844083000004</v>
      </c>
      <c r="I11" s="53">
        <f t="shared" si="5"/>
        <v>0</v>
      </c>
      <c r="J11" s="53">
        <f t="shared" si="5"/>
        <v>62.949999999999996</v>
      </c>
      <c r="K11" s="53">
        <f t="shared" si="5"/>
        <v>1.78</v>
      </c>
      <c r="L11" s="53">
        <f t="shared" si="5"/>
        <v>46101.707814999994</v>
      </c>
      <c r="M11" s="53">
        <f t="shared" si="5"/>
        <v>3867.3500000000004</v>
      </c>
      <c r="N11" s="53">
        <f t="shared" si="5"/>
        <v>42234.357814999996</v>
      </c>
      <c r="O11" s="53">
        <f t="shared" si="5"/>
        <v>0</v>
      </c>
      <c r="P11" s="53">
        <f>P112</f>
        <v>0</v>
      </c>
      <c r="Q11" s="53">
        <f t="shared" si="5"/>
        <v>42234.357814999996</v>
      </c>
      <c r="W11" s="285" t="s">
        <v>19</v>
      </c>
      <c r="X11" s="284">
        <f t="shared" si="2"/>
        <v>957645.2</v>
      </c>
    </row>
    <row r="12" spans="1:25" hidden="1">
      <c r="A12" s="250" t="str">
        <f>A115</f>
        <v>DIAMOND VALLEY RODENT CONTROL DISTRICT</v>
      </c>
      <c r="B12" s="247">
        <f t="shared" ref="B12:Q12" si="6">B124</f>
        <v>0</v>
      </c>
      <c r="C12" s="247">
        <f t="shared" si="6"/>
        <v>0</v>
      </c>
      <c r="D12" s="248">
        <f t="shared" si="6"/>
        <v>0</v>
      </c>
      <c r="E12" s="248"/>
      <c r="F12" s="248">
        <f t="shared" si="6"/>
        <v>1206030.81</v>
      </c>
      <c r="G12" s="249">
        <f t="shared" si="6"/>
        <v>11.45</v>
      </c>
      <c r="H12" s="249">
        <f t="shared" si="6"/>
        <v>470.96</v>
      </c>
      <c r="I12" s="249">
        <f t="shared" si="6"/>
        <v>0</v>
      </c>
      <c r="J12" s="249">
        <f t="shared" si="6"/>
        <v>19.13</v>
      </c>
      <c r="K12" s="249">
        <f t="shared" si="6"/>
        <v>0</v>
      </c>
      <c r="L12" s="249">
        <f t="shared" si="6"/>
        <v>463.28</v>
      </c>
      <c r="M12" s="249">
        <f t="shared" si="6"/>
        <v>3.86</v>
      </c>
      <c r="N12" s="249">
        <f t="shared" si="6"/>
        <v>459.41999999999996</v>
      </c>
      <c r="O12" s="249">
        <f t="shared" si="6"/>
        <v>0</v>
      </c>
      <c r="P12" s="249">
        <f>P124</f>
        <v>0</v>
      </c>
      <c r="Q12" s="249">
        <f t="shared" si="6"/>
        <v>459.41999999999996</v>
      </c>
      <c r="W12" s="285" t="s">
        <v>20</v>
      </c>
      <c r="X12" s="284">
        <f t="shared" si="2"/>
        <v>110631.09000000001</v>
      </c>
    </row>
    <row r="13" spans="1:25" hidden="1">
      <c r="A13" s="250" t="str">
        <f>A126</f>
        <v>DIAMOND VALLEY WEED CONTROL DISTRICT</v>
      </c>
      <c r="B13" s="247">
        <f t="shared" ref="B13:Q13" si="7">B135</f>
        <v>0</v>
      </c>
      <c r="C13" s="247">
        <f t="shared" si="7"/>
        <v>0</v>
      </c>
      <c r="D13" s="248">
        <f t="shared" si="7"/>
        <v>0</v>
      </c>
      <c r="E13" s="248"/>
      <c r="F13" s="248">
        <f t="shared" si="7"/>
        <v>1206012.58</v>
      </c>
      <c r="G13" s="249">
        <f t="shared" si="7"/>
        <v>22.36</v>
      </c>
      <c r="H13" s="249">
        <f t="shared" si="7"/>
        <v>919.56</v>
      </c>
      <c r="I13" s="249">
        <f t="shared" si="7"/>
        <v>0</v>
      </c>
      <c r="J13" s="249">
        <f t="shared" si="7"/>
        <v>37.36</v>
      </c>
      <c r="K13" s="249">
        <f t="shared" si="7"/>
        <v>0</v>
      </c>
      <c r="L13" s="249">
        <f t="shared" si="7"/>
        <v>904.56</v>
      </c>
      <c r="M13" s="249">
        <f t="shared" si="7"/>
        <v>7.54</v>
      </c>
      <c r="N13" s="249">
        <f t="shared" si="7"/>
        <v>897.02</v>
      </c>
      <c r="O13" s="249">
        <f t="shared" si="7"/>
        <v>0</v>
      </c>
      <c r="P13" s="249">
        <f>P135</f>
        <v>0</v>
      </c>
      <c r="Q13" s="249">
        <f t="shared" si="7"/>
        <v>897.02</v>
      </c>
      <c r="R13" s="53">
        <f>Q12+Q13</f>
        <v>1356.44</v>
      </c>
      <c r="W13" s="174"/>
      <c r="X13" s="284">
        <f t="shared" si="2"/>
        <v>0</v>
      </c>
    </row>
    <row r="14" spans="1:25">
      <c r="A14" s="47" t="str">
        <f>A137</f>
        <v>EUREKA COUNTY TV DISTRICT</v>
      </c>
      <c r="B14" s="48">
        <f t="shared" ref="B14:Q14" si="8">B146</f>
        <v>8.5000000000000006E-3</v>
      </c>
      <c r="C14" s="48">
        <f t="shared" si="8"/>
        <v>0</v>
      </c>
      <c r="D14" s="43">
        <f t="shared" si="8"/>
        <v>3843</v>
      </c>
      <c r="E14" s="173"/>
      <c r="F14" s="43">
        <f t="shared" si="8"/>
        <v>891147696.2888236</v>
      </c>
      <c r="G14" s="53">
        <f t="shared" si="8"/>
        <v>14339.721000000001</v>
      </c>
      <c r="H14" s="53">
        <f t="shared" si="8"/>
        <v>91497.31190500001</v>
      </c>
      <c r="I14" s="53">
        <f t="shared" si="8"/>
        <v>0</v>
      </c>
      <c r="J14" s="53">
        <f t="shared" si="8"/>
        <v>30197.06</v>
      </c>
      <c r="K14" s="53">
        <f t="shared" si="8"/>
        <v>0.26</v>
      </c>
      <c r="L14" s="53">
        <f t="shared" si="8"/>
        <v>75640.232905000012</v>
      </c>
      <c r="M14" s="53">
        <f t="shared" si="8"/>
        <v>1539.15</v>
      </c>
      <c r="N14" s="53">
        <f t="shared" si="8"/>
        <v>74101.082905000017</v>
      </c>
      <c r="O14" s="53">
        <f t="shared" si="8"/>
        <v>0</v>
      </c>
      <c r="P14" s="53">
        <f>P146</f>
        <v>4846.55</v>
      </c>
      <c r="Q14" s="53">
        <f t="shared" si="8"/>
        <v>69254.532905</v>
      </c>
      <c r="W14" s="491" t="s">
        <v>20</v>
      </c>
      <c r="X14" s="284">
        <f>Q26+Q54+Q73+Q98+Q110+Q144</f>
        <v>110631.09000000001</v>
      </c>
    </row>
    <row r="15" spans="1:25">
      <c r="A15" s="57"/>
      <c r="B15" s="51"/>
      <c r="C15" s="51"/>
      <c r="D15" s="52"/>
      <c r="E15" s="203"/>
      <c r="F15" s="52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W15" s="174"/>
      <c r="X15" s="284">
        <f>Q28+Q54+Q73+Q98+Q110+Q144</f>
        <v>1486724.7681</v>
      </c>
    </row>
    <row r="16" spans="1:25" ht="13.5" thickBot="1">
      <c r="A16" s="57" t="s">
        <v>14</v>
      </c>
      <c r="B16" s="51"/>
      <c r="C16" s="51"/>
      <c r="D16" s="69">
        <f>D7</f>
        <v>3843</v>
      </c>
      <c r="E16" s="204"/>
      <c r="F16" s="69">
        <f>F7</f>
        <v>889897215.16235304</v>
      </c>
      <c r="G16" s="70">
        <f t="shared" ref="G16:P16" si="9">SUM(G7:G15)</f>
        <v>3504631.081036</v>
      </c>
      <c r="H16" s="70">
        <f t="shared" si="9"/>
        <v>22390093.305917997</v>
      </c>
      <c r="I16" s="70">
        <f t="shared" si="9"/>
        <v>0</v>
      </c>
      <c r="J16" s="70">
        <f t="shared" si="9"/>
        <v>7369443.4399999995</v>
      </c>
      <c r="K16" s="70">
        <f t="shared" si="9"/>
        <v>64.94</v>
      </c>
      <c r="L16" s="70">
        <f t="shared" si="9"/>
        <v>18525345.886954002</v>
      </c>
      <c r="M16" s="70">
        <f t="shared" si="9"/>
        <v>495231.66</v>
      </c>
      <c r="N16" s="70">
        <f t="shared" si="9"/>
        <v>18030114.226953998</v>
      </c>
      <c r="O16" s="70">
        <f t="shared" si="9"/>
        <v>0</v>
      </c>
      <c r="P16" s="70">
        <f t="shared" si="9"/>
        <v>1182728.73</v>
      </c>
      <c r="Q16" s="70">
        <f>SUM(Q7:Q15)</f>
        <v>16847385.496954001</v>
      </c>
    </row>
    <row r="17" spans="1:24" ht="13.5" thickBot="1">
      <c r="A17" s="60"/>
      <c r="B17" s="61"/>
      <c r="C17" s="61"/>
      <c r="D17" s="62"/>
      <c r="E17" s="215"/>
      <c r="F17" s="62"/>
      <c r="G17" s="63"/>
      <c r="H17" s="63"/>
      <c r="I17" s="63"/>
      <c r="J17" s="63"/>
      <c r="K17" s="63"/>
      <c r="L17" s="279" t="s">
        <v>388</v>
      </c>
      <c r="M17" s="280">
        <f>M16/L16</f>
        <v>2.6732653901418064E-2</v>
      </c>
      <c r="N17" s="63"/>
      <c r="O17" s="63"/>
      <c r="P17" s="63"/>
      <c r="Q17" s="63"/>
      <c r="X17" s="53">
        <f>X15-Q16</f>
        <v>-15360660.728854001</v>
      </c>
    </row>
    <row r="18" spans="1:24">
      <c r="A18" s="50"/>
      <c r="B18" s="51"/>
      <c r="C18" s="51"/>
      <c r="D18" s="52"/>
      <c r="E18" s="203"/>
      <c r="F18" s="5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</row>
    <row r="19" spans="1:24">
      <c r="A19" s="54" t="s">
        <v>11</v>
      </c>
      <c r="B19" s="51"/>
      <c r="C19" s="51"/>
      <c r="D19" s="52"/>
      <c r="E19" s="203"/>
      <c r="F19" s="52"/>
      <c r="G19" s="64">
        <f>G21/B21*100</f>
        <v>115338494.11764707</v>
      </c>
      <c r="H19" s="53"/>
      <c r="I19" s="53"/>
      <c r="J19" s="53">
        <f>J21/0.0017</f>
        <v>354009558.82352942</v>
      </c>
      <c r="K19" s="53"/>
      <c r="L19" s="53"/>
      <c r="M19" s="53"/>
      <c r="N19" s="53"/>
      <c r="O19" s="53"/>
      <c r="P19" s="53"/>
      <c r="Q19" s="53"/>
    </row>
    <row r="20" spans="1:24">
      <c r="A20" s="47"/>
      <c r="B20" s="48"/>
      <c r="C20" s="48"/>
      <c r="D20" s="43"/>
      <c r="E20" s="65">
        <v>153364600</v>
      </c>
      <c r="F20" s="4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</row>
    <row r="21" spans="1:24">
      <c r="A21" s="49" t="s">
        <v>15</v>
      </c>
      <c r="B21" s="48">
        <v>0.17</v>
      </c>
      <c r="C21" s="48">
        <v>0</v>
      </c>
      <c r="D21" s="43">
        <v>3843</v>
      </c>
      <c r="E21" s="173">
        <f>G21/B21*100</f>
        <v>115338494.11764707</v>
      </c>
      <c r="F21" s="43">
        <v>770508809</v>
      </c>
      <c r="G21" s="53">
        <v>196075.44</v>
      </c>
      <c r="H21" s="53">
        <v>1715604.32</v>
      </c>
      <c r="I21" s="53">
        <v>0</v>
      </c>
      <c r="J21" s="53">
        <v>601816.25</v>
      </c>
      <c r="K21" s="53">
        <v>4.92</v>
      </c>
      <c r="L21" s="53">
        <f>G21+H21+I21-J21+K21</f>
        <v>1309868.43</v>
      </c>
      <c r="M21" s="53">
        <v>29011.040000000001</v>
      </c>
      <c r="N21" s="502">
        <f>L21-M21</f>
        <v>1280857.3899999999</v>
      </c>
      <c r="O21" s="53">
        <v>0</v>
      </c>
      <c r="P21" s="53">
        <v>96930.95</v>
      </c>
      <c r="Q21" s="339">
        <f>N21-O21-P21</f>
        <v>1183926.44</v>
      </c>
    </row>
    <row r="22" spans="1:24">
      <c r="A22" s="47" t="s">
        <v>16</v>
      </c>
      <c r="B22" s="48">
        <f>B$21</f>
        <v>0.17</v>
      </c>
      <c r="C22" s="48"/>
      <c r="D22" s="43"/>
      <c r="E22" s="173">
        <v>115338491</v>
      </c>
      <c r="F22" s="65">
        <f>IF(E20&gt;E21,E20-E21,0)</f>
        <v>38026105.882352933</v>
      </c>
      <c r="G22" s="53">
        <f>F22*(B22-C22)/100</f>
        <v>64644.37999999999</v>
      </c>
      <c r="H22" s="53"/>
      <c r="I22" s="53">
        <f>F22*C22/100</f>
        <v>0</v>
      </c>
      <c r="J22" s="53"/>
      <c r="K22" s="53"/>
      <c r="L22" s="53">
        <f>G22+H22+I22-J22+K22</f>
        <v>64644.37999999999</v>
      </c>
      <c r="M22" s="53"/>
      <c r="N22" s="53">
        <f>L22-M22</f>
        <v>64644.37999999999</v>
      </c>
      <c r="O22" s="53"/>
      <c r="P22" s="53"/>
      <c r="Q22" s="53">
        <f>N22-O22</f>
        <v>64644.37999999999</v>
      </c>
    </row>
    <row r="23" spans="1:24">
      <c r="A23" s="47" t="s">
        <v>17</v>
      </c>
      <c r="B23" s="48">
        <f>B$21</f>
        <v>0.17</v>
      </c>
      <c r="C23" s="48"/>
      <c r="D23" s="43"/>
      <c r="E23" s="173"/>
      <c r="F23" s="66">
        <v>28584493</v>
      </c>
      <c r="G23" s="53"/>
      <c r="H23" s="53">
        <f>F23*(B23-C23)/100</f>
        <v>48593.638100000004</v>
      </c>
      <c r="I23" s="53">
        <f>F23*C23/100</f>
        <v>0</v>
      </c>
      <c r="J23" s="53">
        <v>0</v>
      </c>
      <c r="K23" s="53">
        <v>0</v>
      </c>
      <c r="L23" s="53">
        <f>G23+H23+I23-J23+K23</f>
        <v>48593.638100000004</v>
      </c>
      <c r="M23" s="53">
        <v>0</v>
      </c>
      <c r="N23" s="53">
        <f>L23-M23</f>
        <v>48593.638100000004</v>
      </c>
      <c r="O23" s="53">
        <v>0</v>
      </c>
      <c r="P23" s="53">
        <v>0</v>
      </c>
      <c r="Q23" s="53">
        <f>N23-O23</f>
        <v>48593.638100000004</v>
      </c>
    </row>
    <row r="24" spans="1:24">
      <c r="A24" s="47" t="s">
        <v>18</v>
      </c>
      <c r="B24" s="48"/>
      <c r="C24" s="48"/>
      <c r="D24" s="43"/>
      <c r="E24" s="173"/>
      <c r="F24" s="4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24">
      <c r="A25" s="67" t="s">
        <v>19</v>
      </c>
      <c r="B25" s="48">
        <f>B$21</f>
        <v>0.17</v>
      </c>
      <c r="C25" s="48"/>
      <c r="D25" s="43"/>
      <c r="E25" s="173"/>
      <c r="F25" s="43">
        <v>47460229.579999998</v>
      </c>
      <c r="G25" s="53">
        <v>17472.68</v>
      </c>
      <c r="H25" s="53">
        <v>65335.46</v>
      </c>
      <c r="I25" s="53">
        <v>0</v>
      </c>
      <c r="J25" s="53">
        <v>2125.7600000000002</v>
      </c>
      <c r="K25" s="53">
        <v>0</v>
      </c>
      <c r="L25" s="53">
        <f>G25+H25+I25-J25+K25</f>
        <v>80682.38</v>
      </c>
      <c r="M25" s="53">
        <v>1753.16</v>
      </c>
      <c r="N25" s="53">
        <f>L25-M25</f>
        <v>78929.22</v>
      </c>
      <c r="O25" s="53">
        <v>0</v>
      </c>
      <c r="P25" s="53">
        <v>0</v>
      </c>
      <c r="Q25" s="53">
        <f>N25-O25-P25</f>
        <v>78929.22</v>
      </c>
      <c r="S25" s="53"/>
    </row>
    <row r="26" spans="1:24">
      <c r="A26" s="67" t="s">
        <v>20</v>
      </c>
      <c r="B26" s="48">
        <f>B$21</f>
        <v>0.17</v>
      </c>
      <c r="C26" s="48"/>
      <c r="D26" s="43"/>
      <c r="E26" s="173"/>
      <c r="F26" s="43">
        <v>5317577.7</v>
      </c>
      <c r="G26" s="53">
        <v>8601.9</v>
      </c>
      <c r="H26" s="53">
        <v>437.91</v>
      </c>
      <c r="I26" s="53">
        <v>0</v>
      </c>
      <c r="J26" s="53">
        <v>0</v>
      </c>
      <c r="K26" s="53">
        <v>0</v>
      </c>
      <c r="L26" s="53">
        <f>G26+H26+I26-J26+K26</f>
        <v>9039.81</v>
      </c>
      <c r="M26" s="53">
        <v>0.76</v>
      </c>
      <c r="N26" s="53">
        <f>L26-M26</f>
        <v>9039.0499999999993</v>
      </c>
      <c r="O26" s="53">
        <v>0</v>
      </c>
      <c r="P26" s="53"/>
      <c r="Q26" s="53">
        <f>N26-O26-P26</f>
        <v>9039.0499999999993</v>
      </c>
    </row>
    <row r="27" spans="1:24">
      <c r="A27" s="47"/>
      <c r="B27" s="48"/>
      <c r="C27" s="48"/>
      <c r="D27" s="43"/>
      <c r="E27" s="173"/>
      <c r="F27" s="4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24" s="50" customFormat="1" ht="13.5" thickBot="1">
      <c r="A28" s="60" t="str">
        <f>"TOTAL "&amp;A19</f>
        <v>TOTAL STATE OF NEVADA</v>
      </c>
      <c r="B28" s="68">
        <f>B21</f>
        <v>0.17</v>
      </c>
      <c r="C28" s="68">
        <f>C21</f>
        <v>0</v>
      </c>
      <c r="D28" s="69">
        <f t="shared" ref="D28:Q28" si="10">SUM(D21:D23,D25:D26)</f>
        <v>3843</v>
      </c>
      <c r="E28" s="204"/>
      <c r="F28" s="69">
        <f t="shared" si="10"/>
        <v>889897215.16235304</v>
      </c>
      <c r="G28" s="70">
        <f t="shared" si="10"/>
        <v>286794.40000000002</v>
      </c>
      <c r="H28" s="70">
        <f t="shared" si="10"/>
        <v>1829971.3281</v>
      </c>
      <c r="I28" s="70">
        <f t="shared" si="10"/>
        <v>0</v>
      </c>
      <c r="J28" s="70">
        <f t="shared" si="10"/>
        <v>603942.01</v>
      </c>
      <c r="K28" s="70">
        <f t="shared" si="10"/>
        <v>4.92</v>
      </c>
      <c r="L28" s="70">
        <f t="shared" si="10"/>
        <v>1512828.6381000001</v>
      </c>
      <c r="M28" s="70">
        <f t="shared" si="10"/>
        <v>30764.959999999999</v>
      </c>
      <c r="N28" s="70">
        <f>SUM(N21:N23,N25:N26)</f>
        <v>1482063.6780999999</v>
      </c>
      <c r="O28" s="70">
        <f t="shared" si="10"/>
        <v>0</v>
      </c>
      <c r="P28" s="70">
        <f t="shared" si="10"/>
        <v>96930.95</v>
      </c>
      <c r="Q28" s="70">
        <f t="shared" si="10"/>
        <v>1385132.7280999999</v>
      </c>
      <c r="W28" s="49"/>
      <c r="X28" s="49"/>
    </row>
    <row r="29" spans="1:24">
      <c r="A29" s="150" t="s">
        <v>355</v>
      </c>
      <c r="B29" s="48"/>
      <c r="C29" s="48"/>
      <c r="D29" s="43"/>
      <c r="E29" s="173"/>
      <c r="F29" s="64">
        <v>889897235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W29" s="50"/>
      <c r="X29" s="50"/>
    </row>
    <row r="30" spans="1:24">
      <c r="A30" s="151" t="s">
        <v>30</v>
      </c>
      <c r="B30" s="51"/>
      <c r="C30" s="51"/>
      <c r="D30" s="52"/>
      <c r="E30" s="203"/>
      <c r="F30" s="152">
        <f>F28-F29</f>
        <v>-19.837646961212158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T30" s="266" t="s">
        <v>378</v>
      </c>
      <c r="U30" s="266" t="s">
        <v>384</v>
      </c>
      <c r="V30" s="266" t="s">
        <v>227</v>
      </c>
    </row>
    <row r="31" spans="1:24">
      <c r="A31" s="54" t="s">
        <v>12</v>
      </c>
      <c r="B31" s="48"/>
      <c r="C31" s="48"/>
      <c r="D31" s="43"/>
      <c r="E31" s="173"/>
      <c r="F31" s="95"/>
      <c r="G31" s="64"/>
      <c r="H31" s="96"/>
      <c r="I31" s="53"/>
      <c r="J31" s="97"/>
      <c r="K31" s="53"/>
      <c r="L31" s="53"/>
      <c r="M31" s="53"/>
      <c r="N31" s="53"/>
      <c r="O31" s="53"/>
      <c r="P31" s="53"/>
      <c r="Q31" s="53"/>
      <c r="T31" s="266" t="s">
        <v>379</v>
      </c>
      <c r="U31" s="266" t="s">
        <v>385</v>
      </c>
      <c r="V31" s="266" t="s">
        <v>382</v>
      </c>
    </row>
    <row r="32" spans="1:24">
      <c r="A32" s="47"/>
      <c r="B32" s="48"/>
      <c r="C32" s="48"/>
      <c r="D32" s="43"/>
      <c r="E32" s="173"/>
      <c r="F32" s="463">
        <f>(G48+H48)/B48*100</f>
        <v>1124518162.8556468</v>
      </c>
      <c r="G32" s="13"/>
      <c r="H32" s="463">
        <f>F32-J32</f>
        <v>770509201.43131447</v>
      </c>
      <c r="I32" s="13"/>
      <c r="J32" s="463">
        <f>J48/B48*100</f>
        <v>354008961.42433238</v>
      </c>
      <c r="K32" s="53"/>
      <c r="L32" s="53"/>
      <c r="M32" s="53"/>
      <c r="N32" s="53"/>
      <c r="O32" s="53"/>
      <c r="P32" s="53"/>
      <c r="Q32" s="53"/>
      <c r="T32" s="266"/>
      <c r="U32" s="266" t="s">
        <v>381</v>
      </c>
      <c r="V32" s="266" t="s">
        <v>383</v>
      </c>
    </row>
    <row r="33" spans="1:24">
      <c r="A33" s="49" t="s">
        <v>15</v>
      </c>
      <c r="B33" s="48"/>
      <c r="C33" s="48"/>
      <c r="D33" s="43"/>
      <c r="E33" s="173"/>
      <c r="F33" s="4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T33" s="266"/>
      <c r="U33" s="266"/>
      <c r="V33" s="266"/>
    </row>
    <row r="34" spans="1:24">
      <c r="A34" s="67" t="s">
        <v>61</v>
      </c>
      <c r="B34" s="402">
        <v>0.5575</v>
      </c>
      <c r="C34" s="48">
        <v>0</v>
      </c>
      <c r="D34" s="43">
        <v>3843</v>
      </c>
      <c r="E34" s="173"/>
      <c r="F34" s="43">
        <v>770508809</v>
      </c>
      <c r="G34" s="53">
        <v>643012.1</v>
      </c>
      <c r="H34" s="53">
        <v>5626178.6699999999</v>
      </c>
      <c r="I34" s="53">
        <v>0</v>
      </c>
      <c r="J34" s="53">
        <v>1973603.56</v>
      </c>
      <c r="K34" s="53">
        <v>16.12</v>
      </c>
      <c r="L34" s="53">
        <f>G34+H34+I34-J34+K34</f>
        <v>4295603.3299999991</v>
      </c>
      <c r="M34" s="53">
        <v>95140.86</v>
      </c>
      <c r="N34" s="53">
        <f>L34-M34</f>
        <v>4200462.4699999988</v>
      </c>
      <c r="O34" s="53">
        <v>0</v>
      </c>
      <c r="P34" s="53">
        <v>317876.53999999998</v>
      </c>
      <c r="Q34" s="53">
        <f>N34-O34-P34</f>
        <v>3882585.9299999988</v>
      </c>
      <c r="T34" s="267">
        <f>B34/$B$48</f>
        <v>0.4865596090068075</v>
      </c>
      <c r="U34" s="153">
        <f>$T$54*T34</f>
        <v>655495.77042996616</v>
      </c>
      <c r="V34" s="153">
        <f>Q34+U34</f>
        <v>4538081.7004299648</v>
      </c>
    </row>
    <row r="35" spans="1:24">
      <c r="A35" s="67" t="s">
        <v>376</v>
      </c>
      <c r="B35" s="403">
        <v>0.22</v>
      </c>
      <c r="C35" s="48">
        <v>0</v>
      </c>
      <c r="D35" s="43">
        <v>3843</v>
      </c>
      <c r="E35" s="173"/>
      <c r="F35" s="43">
        <v>770508809</v>
      </c>
      <c r="G35" s="53">
        <v>253744.65</v>
      </c>
      <c r="H35" s="53">
        <v>2220196.59</v>
      </c>
      <c r="I35" s="53">
        <v>0</v>
      </c>
      <c r="J35" s="53">
        <v>778820.49</v>
      </c>
      <c r="K35" s="53">
        <v>6.35</v>
      </c>
      <c r="L35" s="53">
        <f>G35+H35+I35-J35+K35</f>
        <v>1695127.0999999999</v>
      </c>
      <c r="M35" s="53">
        <v>85120.08</v>
      </c>
      <c r="N35" s="53">
        <f>L35-M35</f>
        <v>1610007.0199999998</v>
      </c>
      <c r="O35" s="53">
        <v>0</v>
      </c>
      <c r="P35" s="53">
        <v>125440.07</v>
      </c>
      <c r="Q35" s="53">
        <f>N35-O35-P35</f>
        <v>1484566.9499999997</v>
      </c>
      <c r="T35" s="267">
        <f>B35/$B$48</f>
        <v>0.19200558561703615</v>
      </c>
      <c r="U35" s="153">
        <f>$T$54*T35</f>
        <v>258670.97667191489</v>
      </c>
      <c r="V35" s="153">
        <f t="shared" ref="V35:V46" si="11">Q35+U35</f>
        <v>1743237.9266719145</v>
      </c>
    </row>
    <row r="36" spans="1:24">
      <c r="A36" s="67" t="s">
        <v>110</v>
      </c>
      <c r="B36" s="402">
        <v>0.12</v>
      </c>
      <c r="C36" s="48">
        <v>0</v>
      </c>
      <c r="D36" s="43">
        <v>3843</v>
      </c>
      <c r="E36" s="173"/>
      <c r="F36" s="43">
        <v>770508809</v>
      </c>
      <c r="G36" s="53">
        <v>138406.20000000001</v>
      </c>
      <c r="H36" s="53">
        <v>1211014</v>
      </c>
      <c r="I36" s="53">
        <v>0</v>
      </c>
      <c r="J36" s="53">
        <v>424811.12</v>
      </c>
      <c r="K36" s="53">
        <v>3.45</v>
      </c>
      <c r="L36" s="53">
        <f t="shared" ref="L36:L47" si="12">G36+H36+I36-J36+K36</f>
        <v>924612.52999999991</v>
      </c>
      <c r="M36" s="53">
        <v>48408.29</v>
      </c>
      <c r="N36" s="53">
        <f t="shared" ref="N36:N47" si="13">L36-M36</f>
        <v>876204.23999999987</v>
      </c>
      <c r="O36" s="53">
        <v>0</v>
      </c>
      <c r="P36" s="53">
        <v>68421.86</v>
      </c>
      <c r="Q36" s="53">
        <f t="shared" ref="Q36:Q46" si="14">N36-O36-P36</f>
        <v>807782.37999999989</v>
      </c>
      <c r="T36" s="267">
        <f>B36/$B$48</f>
        <v>0.10473031942747425</v>
      </c>
      <c r="U36" s="153">
        <f>$T$54*T36</f>
        <v>141093.26000286266</v>
      </c>
      <c r="V36" s="153">
        <f t="shared" si="11"/>
        <v>948875.64000286255</v>
      </c>
    </row>
    <row r="37" spans="1:24">
      <c r="A37" s="67" t="s">
        <v>111</v>
      </c>
      <c r="B37" s="402">
        <v>0.01</v>
      </c>
      <c r="C37" s="48">
        <v>0</v>
      </c>
      <c r="D37" s="43">
        <v>3843</v>
      </c>
      <c r="E37" s="173"/>
      <c r="F37" s="43">
        <v>770508809</v>
      </c>
      <c r="G37" s="53">
        <v>11533.82</v>
      </c>
      <c r="H37" s="53">
        <v>100917.51</v>
      </c>
      <c r="I37" s="53">
        <v>0</v>
      </c>
      <c r="J37" s="53">
        <v>35400.910000000003</v>
      </c>
      <c r="K37" s="53">
        <v>0.28999999999999998</v>
      </c>
      <c r="L37" s="53">
        <f t="shared" si="12"/>
        <v>77050.709999999977</v>
      </c>
      <c r="M37" s="53">
        <v>1705.54</v>
      </c>
      <c r="N37" s="53">
        <f t="shared" si="13"/>
        <v>75345.169999999984</v>
      </c>
      <c r="O37" s="53">
        <v>0</v>
      </c>
      <c r="P37" s="53">
        <v>5701.82</v>
      </c>
      <c r="Q37" s="53">
        <f t="shared" si="14"/>
        <v>69643.349999999977</v>
      </c>
      <c r="T37" s="267">
        <f>B37/$B$48</f>
        <v>8.7275266189561877E-3</v>
      </c>
      <c r="U37" s="153">
        <f>$T$54*T37</f>
        <v>11757.771666905221</v>
      </c>
      <c r="V37" s="153">
        <f t="shared" si="11"/>
        <v>81401.121666905194</v>
      </c>
    </row>
    <row r="38" spans="1:24">
      <c r="A38" s="26" t="s">
        <v>472</v>
      </c>
      <c r="B38" s="402">
        <v>5.0000000000000001E-3</v>
      </c>
      <c r="C38" s="48">
        <v>0</v>
      </c>
      <c r="D38" s="43">
        <v>3843</v>
      </c>
      <c r="E38" s="173"/>
      <c r="F38" s="43">
        <v>770508809</v>
      </c>
      <c r="G38" s="53">
        <v>5766.95</v>
      </c>
      <c r="H38" s="53">
        <v>50460.32</v>
      </c>
      <c r="I38" s="53">
        <v>0</v>
      </c>
      <c r="J38" s="53">
        <v>17700.45</v>
      </c>
      <c r="K38" s="53">
        <v>0.14000000000000001</v>
      </c>
      <c r="L38" s="53">
        <f t="shared" ref="L38:L39" si="15">G38+H38+I38-J38+K38</f>
        <v>38526.959999999992</v>
      </c>
      <c r="M38" s="53">
        <v>1299.8699999999999</v>
      </c>
      <c r="N38" s="53">
        <f t="shared" ref="N38:N39" si="16">L38-M38</f>
        <v>37227.089999999989</v>
      </c>
      <c r="O38" s="53">
        <v>0</v>
      </c>
      <c r="P38" s="53">
        <v>2850.9</v>
      </c>
      <c r="Q38" s="53">
        <f t="shared" ref="Q38:Q39" si="17">N38-O38-P38</f>
        <v>34376.189999999988</v>
      </c>
      <c r="T38" s="267"/>
      <c r="U38" s="153"/>
      <c r="V38" s="153"/>
    </row>
    <row r="39" spans="1:24">
      <c r="A39" s="26" t="s">
        <v>473</v>
      </c>
      <c r="B39" s="402">
        <v>0.06</v>
      </c>
      <c r="C39" s="48">
        <v>0</v>
      </c>
      <c r="D39" s="43">
        <v>3843</v>
      </c>
      <c r="E39" s="173"/>
      <c r="F39" s="43">
        <v>770508809</v>
      </c>
      <c r="G39" s="53">
        <v>69203.08</v>
      </c>
      <c r="H39" s="53">
        <v>605508.11</v>
      </c>
      <c r="I39" s="53">
        <v>0</v>
      </c>
      <c r="J39" s="53">
        <v>212399.76</v>
      </c>
      <c r="K39" s="53">
        <v>1.74</v>
      </c>
      <c r="L39" s="53">
        <f t="shared" si="15"/>
        <v>462313.16999999993</v>
      </c>
      <c r="M39" s="53">
        <v>31410.76</v>
      </c>
      <c r="N39" s="53">
        <f t="shared" si="16"/>
        <v>430902.40999999992</v>
      </c>
      <c r="O39" s="53">
        <v>0</v>
      </c>
      <c r="P39" s="53">
        <v>34210.93</v>
      </c>
      <c r="Q39" s="53">
        <f t="shared" si="17"/>
        <v>396691.47999999992</v>
      </c>
      <c r="T39" s="267"/>
      <c r="U39" s="153"/>
      <c r="V39" s="153"/>
    </row>
    <row r="40" spans="1:24">
      <c r="A40" s="67" t="s">
        <v>112</v>
      </c>
      <c r="B40" s="402">
        <v>0.05</v>
      </c>
      <c r="C40" s="48">
        <v>0</v>
      </c>
      <c r="D40" s="43">
        <v>3843</v>
      </c>
      <c r="E40" s="173"/>
      <c r="F40" s="43">
        <v>770508809</v>
      </c>
      <c r="G40" s="53">
        <v>57669.23</v>
      </c>
      <c r="H40" s="53">
        <v>504588.6</v>
      </c>
      <c r="I40" s="53">
        <v>0</v>
      </c>
      <c r="J40" s="53">
        <v>177004.79999999999</v>
      </c>
      <c r="K40" s="53">
        <v>1.45</v>
      </c>
      <c r="L40" s="53">
        <f t="shared" si="12"/>
        <v>385254.48</v>
      </c>
      <c r="M40" s="53">
        <v>8531.73</v>
      </c>
      <c r="N40" s="53">
        <f t="shared" si="13"/>
        <v>376722.75</v>
      </c>
      <c r="O40" s="53">
        <v>0</v>
      </c>
      <c r="P40" s="53">
        <v>28509.1</v>
      </c>
      <c r="Q40" s="53">
        <f t="shared" si="14"/>
        <v>348213.65</v>
      </c>
      <c r="T40" s="267">
        <f t="shared" ref="T40:T47" si="18">B40/$B$48</f>
        <v>4.3637633094780942E-2</v>
      </c>
      <c r="U40" s="153">
        <f t="shared" ref="U40:U47" si="19">$T$54*T40</f>
        <v>58788.858334526114</v>
      </c>
      <c r="V40" s="153">
        <f>Q40+U40</f>
        <v>407002.50833452615</v>
      </c>
    </row>
    <row r="41" spans="1:24">
      <c r="A41" s="67" t="s">
        <v>113</v>
      </c>
      <c r="B41" s="402">
        <v>1.4999999999999999E-2</v>
      </c>
      <c r="C41" s="48">
        <v>0</v>
      </c>
      <c r="D41" s="43">
        <v>3843</v>
      </c>
      <c r="E41" s="173"/>
      <c r="F41" s="43">
        <v>770508809</v>
      </c>
      <c r="G41" s="53">
        <v>17300.810000000001</v>
      </c>
      <c r="H41" s="53">
        <v>151376.45000000001</v>
      </c>
      <c r="I41" s="53">
        <v>0</v>
      </c>
      <c r="J41" s="53">
        <v>53101.43</v>
      </c>
      <c r="K41" s="53">
        <v>0.43</v>
      </c>
      <c r="L41" s="53">
        <f t="shared" si="12"/>
        <v>115576.26000000001</v>
      </c>
      <c r="M41" s="53">
        <v>2559.85</v>
      </c>
      <c r="N41" s="53">
        <f t="shared" si="13"/>
        <v>113016.41</v>
      </c>
      <c r="O41" s="53">
        <v>0</v>
      </c>
      <c r="P41" s="53">
        <v>8552.73</v>
      </c>
      <c r="Q41" s="53">
        <f t="shared" si="14"/>
        <v>104463.68000000001</v>
      </c>
      <c r="T41" s="267">
        <f t="shared" si="18"/>
        <v>1.3091289928434282E-2</v>
      </c>
      <c r="U41" s="153">
        <f t="shared" si="19"/>
        <v>17636.657500357833</v>
      </c>
      <c r="V41" s="153">
        <f t="shared" si="11"/>
        <v>122100.33750035784</v>
      </c>
    </row>
    <row r="42" spans="1:24">
      <c r="A42" s="67" t="s">
        <v>114</v>
      </c>
      <c r="B42" s="402">
        <v>3.3E-3</v>
      </c>
      <c r="C42" s="48">
        <v>0</v>
      </c>
      <c r="D42" s="43">
        <v>3843</v>
      </c>
      <c r="E42" s="173"/>
      <c r="F42" s="43">
        <v>770508809</v>
      </c>
      <c r="G42" s="53">
        <v>3806.16</v>
      </c>
      <c r="H42" s="53">
        <v>33302.82</v>
      </c>
      <c r="I42" s="53">
        <v>0</v>
      </c>
      <c r="J42" s="53">
        <v>11682.3</v>
      </c>
      <c r="K42" s="53">
        <v>0.1</v>
      </c>
      <c r="L42" s="53">
        <f t="shared" si="12"/>
        <v>25426.779999999995</v>
      </c>
      <c r="M42" s="53">
        <v>561.67999999999995</v>
      </c>
      <c r="N42" s="53">
        <f t="shared" si="13"/>
        <v>24865.099999999995</v>
      </c>
      <c r="O42" s="53">
        <v>0</v>
      </c>
      <c r="P42" s="53">
        <v>1881.6</v>
      </c>
      <c r="Q42" s="53">
        <f t="shared" si="14"/>
        <v>22983.499999999996</v>
      </c>
      <c r="T42" s="267">
        <f t="shared" si="18"/>
        <v>2.8800837842555423E-3</v>
      </c>
      <c r="U42" s="153">
        <f t="shared" si="19"/>
        <v>3880.0646500787234</v>
      </c>
      <c r="V42" s="153">
        <f t="shared" si="11"/>
        <v>26863.564650078719</v>
      </c>
    </row>
    <row r="43" spans="1:24">
      <c r="A43" s="67" t="s">
        <v>115</v>
      </c>
      <c r="B43" s="402">
        <v>0.01</v>
      </c>
      <c r="C43" s="48">
        <v>0</v>
      </c>
      <c r="D43" s="43">
        <v>3843</v>
      </c>
      <c r="E43" s="173"/>
      <c r="F43" s="43">
        <v>770508809</v>
      </c>
      <c r="G43" s="53">
        <v>11533.82</v>
      </c>
      <c r="H43" s="53">
        <v>100917.52</v>
      </c>
      <c r="I43" s="53">
        <v>0</v>
      </c>
      <c r="J43" s="53">
        <v>35400.910000000003</v>
      </c>
      <c r="K43" s="53">
        <v>0.28999999999999998</v>
      </c>
      <c r="L43" s="53">
        <f t="shared" si="12"/>
        <v>77050.719999999987</v>
      </c>
      <c r="M43" s="53">
        <v>1705.53</v>
      </c>
      <c r="N43" s="53">
        <f t="shared" si="13"/>
        <v>75345.189999999988</v>
      </c>
      <c r="O43" s="53">
        <v>0</v>
      </c>
      <c r="P43" s="53">
        <v>5701.82</v>
      </c>
      <c r="Q43" s="53">
        <f t="shared" si="14"/>
        <v>69643.37</v>
      </c>
      <c r="T43" s="267">
        <f t="shared" si="18"/>
        <v>8.7275266189561877E-3</v>
      </c>
      <c r="U43" s="153">
        <f t="shared" si="19"/>
        <v>11757.771666905221</v>
      </c>
      <c r="V43" s="153">
        <f t="shared" si="11"/>
        <v>81401.141666905212</v>
      </c>
    </row>
    <row r="44" spans="1:24">
      <c r="A44" s="67" t="s">
        <v>116</v>
      </c>
      <c r="B44" s="402">
        <v>7.0000000000000007E-2</v>
      </c>
      <c r="C44" s="48">
        <v>0</v>
      </c>
      <c r="D44" s="43">
        <v>3843</v>
      </c>
      <c r="E44" s="173"/>
      <c r="F44" s="43">
        <v>770508809</v>
      </c>
      <c r="G44" s="53">
        <v>80736.92</v>
      </c>
      <c r="H44" s="53">
        <v>706424.29</v>
      </c>
      <c r="I44" s="53">
        <v>0</v>
      </c>
      <c r="J44" s="53">
        <v>247806.68</v>
      </c>
      <c r="K44" s="53">
        <v>2.0299999999999998</v>
      </c>
      <c r="L44" s="53">
        <f t="shared" si="12"/>
        <v>539356.56000000006</v>
      </c>
      <c r="M44" s="53">
        <v>16306.95</v>
      </c>
      <c r="N44" s="53">
        <f t="shared" si="13"/>
        <v>523049.61000000004</v>
      </c>
      <c r="O44" s="53">
        <v>0</v>
      </c>
      <c r="P44" s="53">
        <v>39912.75</v>
      </c>
      <c r="Q44" s="53">
        <f t="shared" si="14"/>
        <v>483136.86000000004</v>
      </c>
      <c r="T44" s="267">
        <f t="shared" si="18"/>
        <v>6.1092686332693324E-2</v>
      </c>
      <c r="U44" s="153">
        <f t="shared" si="19"/>
        <v>82304.401668336563</v>
      </c>
      <c r="V44" s="153">
        <f t="shared" si="11"/>
        <v>565441.26166833658</v>
      </c>
    </row>
    <row r="45" spans="1:24">
      <c r="A45" s="67" t="s">
        <v>440</v>
      </c>
      <c r="B45" s="402">
        <v>0.02</v>
      </c>
      <c r="C45" s="48">
        <v>0</v>
      </c>
      <c r="D45" s="43">
        <v>3843</v>
      </c>
      <c r="E45" s="173"/>
      <c r="F45" s="43">
        <v>770508809</v>
      </c>
      <c r="G45" s="53">
        <v>23067.64</v>
      </c>
      <c r="H45" s="53">
        <v>201835.58</v>
      </c>
      <c r="I45" s="53">
        <v>0</v>
      </c>
      <c r="J45" s="53">
        <v>70801.820000000007</v>
      </c>
      <c r="K45" s="53">
        <v>0.57999999999999996</v>
      </c>
      <c r="L45" s="53">
        <f t="shared" si="12"/>
        <v>154101.97999999995</v>
      </c>
      <c r="M45" s="53">
        <v>7438.76</v>
      </c>
      <c r="N45" s="53">
        <f t="shared" si="13"/>
        <v>146663.21999999994</v>
      </c>
      <c r="O45" s="53">
        <v>0</v>
      </c>
      <c r="P45" s="53">
        <v>11403.64</v>
      </c>
      <c r="Q45" s="53">
        <f t="shared" si="14"/>
        <v>135259.57999999996</v>
      </c>
      <c r="T45" s="267">
        <f t="shared" si="18"/>
        <v>1.7455053237912375E-2</v>
      </c>
      <c r="U45" s="153">
        <f t="shared" si="19"/>
        <v>23515.543333810441</v>
      </c>
      <c r="V45" s="153">
        <f t="shared" si="11"/>
        <v>158775.12333381039</v>
      </c>
    </row>
    <row r="46" spans="1:24">
      <c r="A46" s="67" t="s">
        <v>441</v>
      </c>
      <c r="B46" s="402">
        <v>5.0000000000000001E-3</v>
      </c>
      <c r="C46" s="48">
        <v>0</v>
      </c>
      <c r="D46" s="43">
        <v>3843</v>
      </c>
      <c r="E46" s="173"/>
      <c r="F46" s="43">
        <v>770508809</v>
      </c>
      <c r="G46" s="53">
        <v>5766.95</v>
      </c>
      <c r="H46" s="53">
        <v>50460.32</v>
      </c>
      <c r="I46" s="53">
        <v>0</v>
      </c>
      <c r="J46" s="53">
        <v>17700.45</v>
      </c>
      <c r="K46" s="53">
        <v>0.14000000000000001</v>
      </c>
      <c r="L46" s="53">
        <f t="shared" si="12"/>
        <v>38526.959999999992</v>
      </c>
      <c r="M46" s="53">
        <v>853.25</v>
      </c>
      <c r="N46" s="53">
        <f t="shared" si="13"/>
        <v>37673.709999999992</v>
      </c>
      <c r="O46" s="53">
        <v>0</v>
      </c>
      <c r="P46" s="53">
        <v>2850.9</v>
      </c>
      <c r="Q46" s="53">
        <f t="shared" si="14"/>
        <v>34822.80999999999</v>
      </c>
      <c r="T46" s="267">
        <f t="shared" si="18"/>
        <v>4.3637633094780939E-3</v>
      </c>
      <c r="U46" s="153">
        <f t="shared" si="19"/>
        <v>5878.8858334526103</v>
      </c>
      <c r="V46" s="153">
        <f t="shared" si="11"/>
        <v>40701.695833452599</v>
      </c>
    </row>
    <row r="47" spans="1:24" s="14" customFormat="1">
      <c r="A47" s="321" t="s">
        <v>474</v>
      </c>
      <c r="B47" s="17">
        <v>0</v>
      </c>
      <c r="C47" s="48">
        <v>0</v>
      </c>
      <c r="D47" s="13">
        <v>0</v>
      </c>
      <c r="E47" s="329">
        <v>153364600</v>
      </c>
      <c r="F47" s="13">
        <v>770508809</v>
      </c>
      <c r="G47" s="18">
        <v>0</v>
      </c>
      <c r="H47" s="18">
        <v>0</v>
      </c>
      <c r="I47" s="53">
        <v>0</v>
      </c>
      <c r="J47" s="18">
        <v>0</v>
      </c>
      <c r="K47" s="18">
        <v>0</v>
      </c>
      <c r="L47" s="53">
        <f t="shared" si="12"/>
        <v>0</v>
      </c>
      <c r="M47" s="18">
        <v>0</v>
      </c>
      <c r="N47" s="53">
        <f t="shared" si="13"/>
        <v>0</v>
      </c>
      <c r="O47" s="53">
        <v>0</v>
      </c>
      <c r="P47" s="53">
        <v>0</v>
      </c>
      <c r="Q47" s="53">
        <f t="shared" ref="Q47" si="20">N47-O47-P47</f>
        <v>0</v>
      </c>
      <c r="T47" s="271">
        <f t="shared" si="18"/>
        <v>0</v>
      </c>
      <c r="U47" s="271">
        <f t="shared" si="19"/>
        <v>0</v>
      </c>
      <c r="V47" s="271"/>
      <c r="W47" s="49"/>
      <c r="X47" s="49"/>
    </row>
    <row r="48" spans="1:24">
      <c r="A48" s="71" t="s">
        <v>26</v>
      </c>
      <c r="B48" s="48">
        <f>SUM(B34:B47)</f>
        <v>1.1457999999999999</v>
      </c>
      <c r="C48" s="48">
        <f>-SUM(C34:C47)</f>
        <v>0</v>
      </c>
      <c r="D48" s="78">
        <f>D34</f>
        <v>3843</v>
      </c>
      <c r="E48" s="208">
        <f>G48/B48*100</f>
        <v>115338482.28312095</v>
      </c>
      <c r="F48" s="72">
        <f>F34</f>
        <v>770508809</v>
      </c>
      <c r="G48" s="73">
        <f t="shared" ref="G48:P48" si="21">SUM(G34:G47)</f>
        <v>1321548.3299999998</v>
      </c>
      <c r="H48" s="73">
        <f t="shared" si="21"/>
        <v>11563180.779999999</v>
      </c>
      <c r="I48" s="73">
        <f t="shared" si="21"/>
        <v>0</v>
      </c>
      <c r="J48" s="73">
        <f t="shared" si="21"/>
        <v>4056234.68</v>
      </c>
      <c r="K48" s="73">
        <f t="shared" si="21"/>
        <v>33.109999999999992</v>
      </c>
      <c r="L48" s="73">
        <f t="shared" si="21"/>
        <v>8828527.540000001</v>
      </c>
      <c r="M48" s="73">
        <f t="shared" si="21"/>
        <v>301043.15000000002</v>
      </c>
      <c r="N48" s="73">
        <f t="shared" si="21"/>
        <v>8527484.3900000006</v>
      </c>
      <c r="O48" s="73">
        <f t="shared" si="21"/>
        <v>0</v>
      </c>
      <c r="P48" s="73">
        <f t="shared" si="21"/>
        <v>653314.65999999992</v>
      </c>
      <c r="Q48" s="73">
        <f>N48-O48-P48</f>
        <v>7874169.7300000004</v>
      </c>
      <c r="T48" s="267">
        <f>SUM(T34:T47)</f>
        <v>0.94327107697678492</v>
      </c>
      <c r="U48" s="153">
        <f>SUM(U34:U47)</f>
        <v>1270779.9617591165</v>
      </c>
      <c r="V48" s="153">
        <f>SUM(V34:V46)</f>
        <v>8713882.0217591133</v>
      </c>
      <c r="W48" s="14"/>
      <c r="X48" s="14"/>
    </row>
    <row r="49" spans="1:24">
      <c r="A49" s="71"/>
      <c r="B49" s="48"/>
      <c r="C49" s="48"/>
      <c r="D49" s="43"/>
      <c r="E49" s="173"/>
      <c r="F49" s="4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T49" s="267"/>
      <c r="U49" s="153"/>
      <c r="V49" s="153"/>
      <c r="W49" s="14"/>
      <c r="X49" s="14"/>
    </row>
    <row r="50" spans="1:24">
      <c r="A50" s="47" t="s">
        <v>16</v>
      </c>
      <c r="B50" s="48">
        <f>B48</f>
        <v>1.1457999999999999</v>
      </c>
      <c r="C50" s="48">
        <f>C48</f>
        <v>0</v>
      </c>
      <c r="D50" s="43"/>
      <c r="E50" s="173"/>
      <c r="F50" s="65">
        <f>IF(E47&gt;E48,E47-E48,0)</f>
        <v>38026117.716879055</v>
      </c>
      <c r="G50" s="53">
        <f>F50*(B50-C50)/100</f>
        <v>435703.25680000021</v>
      </c>
      <c r="H50" s="53"/>
      <c r="I50" s="53">
        <f>F50*C50/100</f>
        <v>0</v>
      </c>
      <c r="J50" s="53"/>
      <c r="K50" s="53"/>
      <c r="L50" s="53">
        <f>G50+H50+I50-J50+K50</f>
        <v>435703.25680000021</v>
      </c>
      <c r="M50" s="53"/>
      <c r="N50" s="53">
        <f>L50-M50</f>
        <v>435703.25680000021</v>
      </c>
      <c r="O50" s="53"/>
      <c r="P50" s="53"/>
      <c r="Q50" s="53">
        <f>N50-O50-P50</f>
        <v>435703.25680000021</v>
      </c>
      <c r="T50" s="266"/>
      <c r="U50" s="266"/>
      <c r="V50" s="266"/>
    </row>
    <row r="51" spans="1:24">
      <c r="A51" s="47" t="s">
        <v>17</v>
      </c>
      <c r="B51" s="48">
        <f>B50</f>
        <v>1.1457999999999999</v>
      </c>
      <c r="C51" s="48">
        <f>C50</f>
        <v>0</v>
      </c>
      <c r="D51" s="43"/>
      <c r="E51" s="173"/>
      <c r="F51" s="66">
        <v>28584493</v>
      </c>
      <c r="G51" s="53"/>
      <c r="H51" s="53">
        <f>F51*(B51-C51)/100</f>
        <v>327521.12079399999</v>
      </c>
      <c r="I51" s="53">
        <f>F51*C51/100</f>
        <v>0</v>
      </c>
      <c r="J51" s="53">
        <v>0</v>
      </c>
      <c r="K51" s="53">
        <v>0</v>
      </c>
      <c r="L51" s="53">
        <f>G51+H51+I51-J51+K51</f>
        <v>327521.12079399999</v>
      </c>
      <c r="M51" s="53">
        <v>0</v>
      </c>
      <c r="N51" s="53">
        <f>L51-M51</f>
        <v>327521.12079399999</v>
      </c>
      <c r="O51" s="53">
        <v>0</v>
      </c>
      <c r="P51" s="53">
        <v>0</v>
      </c>
      <c r="Q51" s="53">
        <f>N51-O51-P51</f>
        <v>327521.12079399999</v>
      </c>
      <c r="T51" s="266" t="s">
        <v>380</v>
      </c>
      <c r="U51" s="266"/>
      <c r="V51" s="266"/>
    </row>
    <row r="52" spans="1:24">
      <c r="A52" s="47" t="s">
        <v>18</v>
      </c>
      <c r="B52" s="48"/>
      <c r="C52" s="48"/>
      <c r="D52" s="43"/>
      <c r="E52" s="173"/>
      <c r="F52" s="4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T52" s="266" t="s">
        <v>381</v>
      </c>
      <c r="U52" s="266"/>
      <c r="V52" s="266"/>
    </row>
    <row r="53" spans="1:24">
      <c r="A53" s="67" t="s">
        <v>19</v>
      </c>
      <c r="B53" s="48">
        <v>1.1457999999999999</v>
      </c>
      <c r="C53" s="48">
        <f>C52</f>
        <v>0</v>
      </c>
      <c r="D53" s="43"/>
      <c r="E53" s="173"/>
      <c r="F53" s="43">
        <v>47460229.579999998</v>
      </c>
      <c r="G53" s="53">
        <v>117765.86</v>
      </c>
      <c r="H53" s="53">
        <v>440361.07</v>
      </c>
      <c r="I53" s="53">
        <v>0</v>
      </c>
      <c r="J53" s="53">
        <v>14327.6</v>
      </c>
      <c r="K53" s="53">
        <v>0</v>
      </c>
      <c r="L53" s="53">
        <f>G53+H53+I53-J53+K53</f>
        <v>543799.33000000007</v>
      </c>
      <c r="M53" s="53">
        <v>20741.98</v>
      </c>
      <c r="N53" s="53">
        <f>L53-M53</f>
        <v>523057.35000000009</v>
      </c>
      <c r="O53" s="53">
        <v>0</v>
      </c>
      <c r="P53" s="53">
        <v>0</v>
      </c>
      <c r="Q53" s="53">
        <f>N53-O53-P53</f>
        <v>523057.35000000009</v>
      </c>
      <c r="T53" s="266"/>
      <c r="U53" s="266"/>
      <c r="V53" s="266"/>
    </row>
    <row r="54" spans="1:24">
      <c r="A54" s="67" t="s">
        <v>20</v>
      </c>
      <c r="B54" s="48">
        <f>B53</f>
        <v>1.1457999999999999</v>
      </c>
      <c r="C54" s="48">
        <f>C53</f>
        <v>0</v>
      </c>
      <c r="D54" s="43"/>
      <c r="E54" s="173"/>
      <c r="F54" s="43">
        <v>5317577.7</v>
      </c>
      <c r="G54" s="53">
        <v>57976.9</v>
      </c>
      <c r="H54" s="53">
        <v>2951.91</v>
      </c>
      <c r="I54" s="53">
        <v>0</v>
      </c>
      <c r="J54" s="53">
        <v>0</v>
      </c>
      <c r="K54" s="53">
        <v>0</v>
      </c>
      <c r="L54" s="53">
        <f>G54+H54+I54-J54+K54</f>
        <v>60928.81</v>
      </c>
      <c r="M54" s="53">
        <v>5.0599999999999996</v>
      </c>
      <c r="N54" s="53">
        <f>L54-M54</f>
        <v>60923.75</v>
      </c>
      <c r="O54" s="53">
        <v>0</v>
      </c>
      <c r="P54" s="53"/>
      <c r="Q54" s="53">
        <f>N54-O54-P54</f>
        <v>60923.75</v>
      </c>
      <c r="T54" s="153">
        <f>SUM(Q50:Q51,Q53:Q54)</f>
        <v>1347205.4775940003</v>
      </c>
      <c r="U54" s="266"/>
      <c r="V54" s="266"/>
    </row>
    <row r="55" spans="1:24">
      <c r="A55" s="47"/>
      <c r="B55" s="48"/>
      <c r="C55" s="48"/>
      <c r="D55" s="43"/>
      <c r="E55" s="173"/>
      <c r="F55" s="4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T55" s="266"/>
      <c r="U55" s="266"/>
      <c r="V55" s="266"/>
    </row>
    <row r="56" spans="1:24" s="50" customFormat="1" ht="13.5" thickBot="1">
      <c r="A56" s="60" t="str">
        <f>"TOTAL "&amp;A31</f>
        <v>TOTAL GENERAL COUNTY</v>
      </c>
      <c r="B56" s="68">
        <f>B48</f>
        <v>1.1457999999999999</v>
      </c>
      <c r="C56" s="68">
        <f>C48</f>
        <v>0</v>
      </c>
      <c r="D56" s="69">
        <f t="shared" ref="D56:Q56" si="22">SUM(D48:D51,D53:D54)</f>
        <v>3843</v>
      </c>
      <c r="E56" s="204"/>
      <c r="F56" s="69">
        <f t="shared" si="22"/>
        <v>889897226.9968791</v>
      </c>
      <c r="G56" s="70">
        <f t="shared" si="22"/>
        <v>1932994.3468000002</v>
      </c>
      <c r="H56" s="70">
        <f t="shared" si="22"/>
        <v>12334014.880794</v>
      </c>
      <c r="I56" s="70">
        <f t="shared" si="22"/>
        <v>0</v>
      </c>
      <c r="J56" s="70">
        <f t="shared" si="22"/>
        <v>4070562.2800000003</v>
      </c>
      <c r="K56" s="70">
        <f t="shared" si="22"/>
        <v>33.109999999999992</v>
      </c>
      <c r="L56" s="70">
        <f t="shared" si="22"/>
        <v>10196480.057594001</v>
      </c>
      <c r="M56" s="70">
        <f t="shared" si="22"/>
        <v>321790.19</v>
      </c>
      <c r="N56" s="70">
        <f t="shared" si="22"/>
        <v>9874689.867594</v>
      </c>
      <c r="O56" s="70">
        <f t="shared" si="22"/>
        <v>0</v>
      </c>
      <c r="P56" s="70">
        <f t="shared" si="22"/>
        <v>653314.65999999992</v>
      </c>
      <c r="Q56" s="70">
        <f t="shared" si="22"/>
        <v>9221375.2075939998</v>
      </c>
      <c r="W56" s="49"/>
      <c r="X56" s="49"/>
    </row>
    <row r="57" spans="1:24" s="168" customFormat="1">
      <c r="A57" s="165" t="s">
        <v>28</v>
      </c>
      <c r="B57" s="166"/>
      <c r="C57" s="166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W57" s="50"/>
      <c r="X57" s="50"/>
    </row>
    <row r="58" spans="1:24" s="168" customFormat="1">
      <c r="A58" s="200" t="s">
        <v>29</v>
      </c>
      <c r="B58" s="166"/>
      <c r="C58" s="166"/>
      <c r="D58" s="167"/>
      <c r="E58" s="167"/>
      <c r="F58" s="167">
        <v>115338491</v>
      </c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</row>
    <row r="59" spans="1:24" s="168" customFormat="1">
      <c r="A59" s="200" t="s">
        <v>15</v>
      </c>
      <c r="B59" s="166"/>
      <c r="C59" s="166"/>
      <c r="D59" s="167"/>
      <c r="E59" s="167"/>
      <c r="F59" s="169">
        <v>655170334</v>
      </c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</row>
    <row r="60" spans="1:24" s="168" customFormat="1">
      <c r="A60" s="200"/>
      <c r="B60" s="166"/>
      <c r="C60" s="166"/>
      <c r="D60" s="167"/>
      <c r="E60" s="167"/>
      <c r="F60" s="167">
        <f>F58+F59</f>
        <v>770508825</v>
      </c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</row>
    <row r="61" spans="1:24" s="168" customFormat="1">
      <c r="A61" s="200" t="s">
        <v>30</v>
      </c>
      <c r="B61" s="166"/>
      <c r="C61" s="166"/>
      <c r="D61" s="167"/>
      <c r="E61" s="167"/>
      <c r="F61" s="479">
        <f>F48-F60</f>
        <v>-16</v>
      </c>
      <c r="G61" s="478">
        <f>F61/F60</f>
        <v>-2.0765498694969524E-8</v>
      </c>
      <c r="H61" s="167"/>
      <c r="I61" s="167"/>
      <c r="J61" s="167"/>
      <c r="K61" s="167"/>
      <c r="L61" s="167"/>
      <c r="M61" s="167"/>
      <c r="N61" s="167"/>
      <c r="O61" s="167"/>
      <c r="P61" s="167"/>
      <c r="Q61" s="167"/>
    </row>
    <row r="62" spans="1:24" s="174" customFormat="1">
      <c r="A62" s="171"/>
      <c r="B62" s="172"/>
      <c r="C62" s="172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W62" s="168"/>
      <c r="X62" s="168"/>
    </row>
    <row r="63" spans="1:24" s="174" customFormat="1">
      <c r="A63" s="75" t="s">
        <v>355</v>
      </c>
      <c r="B63" s="172"/>
      <c r="C63" s="172"/>
      <c r="D63" s="175"/>
      <c r="E63" s="175"/>
      <c r="F63" s="175">
        <v>889897235</v>
      </c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1:24" s="174" customFormat="1">
      <c r="A64" s="76" t="s">
        <v>30</v>
      </c>
      <c r="B64" s="172"/>
      <c r="C64" s="172"/>
      <c r="D64" s="77"/>
      <c r="E64" s="77"/>
      <c r="F64" s="77">
        <f>F56-F63</f>
        <v>-8.0031208992004395</v>
      </c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1:24">
      <c r="A65" s="47"/>
      <c r="B65" s="48"/>
      <c r="C65" s="48"/>
      <c r="D65" s="43"/>
      <c r="E65" s="173"/>
      <c r="F65" s="4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W65" s="174"/>
      <c r="X65" s="174"/>
    </row>
    <row r="66" spans="1:24">
      <c r="A66" s="54" t="s">
        <v>13</v>
      </c>
      <c r="B66" s="51"/>
      <c r="C66" s="51"/>
      <c r="D66" s="52"/>
      <c r="E66" s="203"/>
      <c r="F66" s="52"/>
      <c r="G66" s="64"/>
      <c r="H66" s="53"/>
      <c r="I66" s="53"/>
      <c r="J66" s="53"/>
      <c r="K66" s="53"/>
      <c r="L66" s="53"/>
      <c r="M66" s="53"/>
      <c r="N66" s="53"/>
      <c r="O66" s="53"/>
      <c r="P66" s="53"/>
      <c r="Q66" s="53"/>
    </row>
    <row r="67" spans="1:24">
      <c r="A67" s="47"/>
      <c r="B67" s="48"/>
      <c r="C67" s="48"/>
      <c r="D67" s="43"/>
      <c r="E67" s="65">
        <v>153364600</v>
      </c>
      <c r="F67" s="4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1:24">
      <c r="A68" s="49" t="s">
        <v>15</v>
      </c>
      <c r="B68" s="48">
        <v>0.75</v>
      </c>
      <c r="C68" s="48">
        <v>0</v>
      </c>
      <c r="D68" s="43">
        <v>3843</v>
      </c>
      <c r="E68" s="173">
        <f>G68/B68*100</f>
        <v>115338496</v>
      </c>
      <c r="F68" s="504">
        <v>770508809</v>
      </c>
      <c r="G68" s="53">
        <v>865038.72</v>
      </c>
      <c r="H68" s="53">
        <v>7568845.9199999999</v>
      </c>
      <c r="I68" s="53">
        <v>0</v>
      </c>
      <c r="J68" s="53">
        <v>2655071.88</v>
      </c>
      <c r="K68" s="53">
        <v>21.67</v>
      </c>
      <c r="L68" s="53">
        <f t="shared" ref="L68:L73" si="23">G68+H68+I68-J68+K68</f>
        <v>5778834.4300000006</v>
      </c>
      <c r="M68" s="53">
        <v>127990.65</v>
      </c>
      <c r="N68" s="53">
        <f>L68-M68</f>
        <v>5650843.7800000003</v>
      </c>
      <c r="O68" s="53">
        <v>0</v>
      </c>
      <c r="P68" s="53">
        <v>427636.57</v>
      </c>
      <c r="Q68" s="53">
        <f>N68-O68-P68</f>
        <v>5223207.21</v>
      </c>
    </row>
    <row r="69" spans="1:24">
      <c r="A69" s="47" t="s">
        <v>16</v>
      </c>
      <c r="B69" s="48">
        <f>B68</f>
        <v>0.75</v>
      </c>
      <c r="C69" s="48">
        <f>C68</f>
        <v>0</v>
      </c>
      <c r="D69" s="43"/>
      <c r="E69" s="173"/>
      <c r="F69" s="65">
        <f>IF(E67&gt;E68,E67-E68,0)</f>
        <v>38026104</v>
      </c>
      <c r="G69" s="53">
        <f>F69*(B69-C69)/100</f>
        <v>285195.78000000003</v>
      </c>
      <c r="H69" s="53"/>
      <c r="I69" s="53">
        <f>F69*C69/100</f>
        <v>0</v>
      </c>
      <c r="J69" s="53"/>
      <c r="K69" s="53"/>
      <c r="L69" s="53">
        <f t="shared" si="23"/>
        <v>285195.78000000003</v>
      </c>
      <c r="M69" s="53"/>
      <c r="N69" s="53">
        <f>L69-M69</f>
        <v>285195.78000000003</v>
      </c>
      <c r="O69" s="53"/>
      <c r="P69" s="53"/>
      <c r="Q69" s="53">
        <f>N69-O69-P69</f>
        <v>285195.78000000003</v>
      </c>
    </row>
    <row r="70" spans="1:24">
      <c r="A70" s="47" t="s">
        <v>17</v>
      </c>
      <c r="B70" s="48">
        <f>B68</f>
        <v>0.75</v>
      </c>
      <c r="C70" s="48">
        <f>C68</f>
        <v>0</v>
      </c>
      <c r="D70" s="43"/>
      <c r="E70" s="173"/>
      <c r="F70" s="66">
        <v>28584493</v>
      </c>
      <c r="G70" s="53"/>
      <c r="H70" s="53">
        <f>F70*(B70-C70)/100</f>
        <v>214383.69750000001</v>
      </c>
      <c r="I70" s="53">
        <f>F70*C70/100</f>
        <v>0</v>
      </c>
      <c r="J70" s="53">
        <v>0</v>
      </c>
      <c r="K70" s="53">
        <v>0</v>
      </c>
      <c r="L70" s="53">
        <f t="shared" si="23"/>
        <v>214383.69750000001</v>
      </c>
      <c r="M70" s="53">
        <v>0</v>
      </c>
      <c r="N70" s="53">
        <f>L70-M70</f>
        <v>214383.69750000001</v>
      </c>
      <c r="O70" s="53">
        <v>0</v>
      </c>
      <c r="P70" s="53">
        <v>0</v>
      </c>
      <c r="Q70" s="53">
        <f>N70-O70-P70</f>
        <v>214383.69750000001</v>
      </c>
    </row>
    <row r="71" spans="1:24">
      <c r="A71" s="47" t="s">
        <v>18</v>
      </c>
      <c r="B71" s="48"/>
      <c r="C71" s="48"/>
      <c r="D71" s="43"/>
      <c r="E71" s="173"/>
      <c r="F71" s="4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1:24">
      <c r="A72" s="67" t="s">
        <v>19</v>
      </c>
      <c r="B72" s="48">
        <f>B68</f>
        <v>0.75</v>
      </c>
      <c r="C72" s="48">
        <f>C68</f>
        <v>0</v>
      </c>
      <c r="D72" s="43"/>
      <c r="E72" s="173"/>
      <c r="F72" s="43">
        <v>47460229.579999998</v>
      </c>
      <c r="G72" s="53">
        <v>77085.36</v>
      </c>
      <c r="H72" s="53">
        <v>288244.74</v>
      </c>
      <c r="I72" s="53">
        <v>0</v>
      </c>
      <c r="J72" s="53">
        <v>9378.35</v>
      </c>
      <c r="K72" s="53">
        <v>0</v>
      </c>
      <c r="L72" s="53">
        <f t="shared" si="23"/>
        <v>355951.75</v>
      </c>
      <c r="M72" s="53">
        <v>7734.58</v>
      </c>
      <c r="N72" s="53">
        <f>L72-M72</f>
        <v>348217.17</v>
      </c>
      <c r="O72" s="53">
        <v>0</v>
      </c>
      <c r="P72" s="53">
        <v>0</v>
      </c>
      <c r="Q72" s="53">
        <f>N72-O72-P72</f>
        <v>348217.17</v>
      </c>
      <c r="S72" s="381">
        <f>Q73-G73</f>
        <v>1928.8899999999994</v>
      </c>
    </row>
    <row r="73" spans="1:24">
      <c r="A73" s="67" t="s">
        <v>20</v>
      </c>
      <c r="B73" s="48">
        <f>B68</f>
        <v>0.75</v>
      </c>
      <c r="C73" s="48">
        <f>C68</f>
        <v>0</v>
      </c>
      <c r="D73" s="43"/>
      <c r="E73" s="173"/>
      <c r="F73" s="43">
        <v>5317577.7</v>
      </c>
      <c r="G73" s="53">
        <v>37949.629999999997</v>
      </c>
      <c r="H73" s="53">
        <v>1932.21</v>
      </c>
      <c r="I73" s="53">
        <v>0</v>
      </c>
      <c r="J73" s="53">
        <v>0</v>
      </c>
      <c r="K73" s="53">
        <v>0</v>
      </c>
      <c r="L73" s="53">
        <f t="shared" si="23"/>
        <v>39881.839999999997</v>
      </c>
      <c r="M73" s="53">
        <v>3.32</v>
      </c>
      <c r="N73" s="53">
        <f>L73-M73</f>
        <v>39878.519999999997</v>
      </c>
      <c r="O73" s="53">
        <v>0</v>
      </c>
      <c r="P73" s="53"/>
      <c r="Q73" s="53">
        <f>N73-O73-P73</f>
        <v>39878.519999999997</v>
      </c>
      <c r="S73" s="381">
        <f>G73</f>
        <v>37949.629999999997</v>
      </c>
    </row>
    <row r="74" spans="1:24">
      <c r="A74" s="47"/>
      <c r="B74" s="48"/>
      <c r="C74" s="48"/>
      <c r="D74" s="43"/>
      <c r="E74" s="173"/>
      <c r="F74" s="4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24" s="50" customFormat="1">
      <c r="A75" s="57" t="s">
        <v>31</v>
      </c>
      <c r="B75" s="51">
        <f>B68</f>
        <v>0.75</v>
      </c>
      <c r="C75" s="51">
        <f>C68</f>
        <v>0</v>
      </c>
      <c r="D75" s="78">
        <f t="shared" ref="D75:Q75" si="24">SUM(D68:D70,D72:D73)</f>
        <v>3843</v>
      </c>
      <c r="E75" s="206"/>
      <c r="F75" s="78">
        <f t="shared" si="24"/>
        <v>889897213.28000009</v>
      </c>
      <c r="G75" s="79">
        <f t="shared" si="24"/>
        <v>1265269.49</v>
      </c>
      <c r="H75" s="79">
        <f t="shared" si="24"/>
        <v>8073406.5674999999</v>
      </c>
      <c r="I75" s="79">
        <f t="shared" si="24"/>
        <v>0</v>
      </c>
      <c r="J75" s="79">
        <f t="shared" si="24"/>
        <v>2664450.23</v>
      </c>
      <c r="K75" s="79">
        <f t="shared" si="24"/>
        <v>21.67</v>
      </c>
      <c r="L75" s="79">
        <f t="shared" si="24"/>
        <v>6674247.4975000005</v>
      </c>
      <c r="M75" s="79">
        <f t="shared" si="24"/>
        <v>135728.54999999999</v>
      </c>
      <c r="N75" s="79">
        <f t="shared" si="24"/>
        <v>6538518.9474999998</v>
      </c>
      <c r="O75" s="79">
        <f t="shared" si="24"/>
        <v>0</v>
      </c>
      <c r="P75" s="79">
        <f t="shared" si="24"/>
        <v>427636.57</v>
      </c>
      <c r="Q75" s="79">
        <f t="shared" si="24"/>
        <v>6110882.3774999995</v>
      </c>
      <c r="S75" s="183">
        <f>B75/B88</f>
        <v>1</v>
      </c>
      <c r="W75" s="49"/>
      <c r="X75" s="49"/>
    </row>
    <row r="76" spans="1:24">
      <c r="A76" s="47"/>
      <c r="B76" s="48"/>
      <c r="C76" s="48"/>
      <c r="D76" s="43"/>
      <c r="E76" s="173"/>
      <c r="F76" s="43"/>
      <c r="G76" s="53"/>
      <c r="H76" s="53"/>
      <c r="I76" s="53"/>
      <c r="J76" s="53"/>
      <c r="K76" s="53"/>
      <c r="L76" s="505" t="s">
        <v>388</v>
      </c>
      <c r="M76" s="506">
        <f>M75/L75</f>
        <v>2.0336157754239765E-2</v>
      </c>
      <c r="N76" s="53"/>
      <c r="O76" s="53"/>
      <c r="P76" s="53"/>
      <c r="Q76" s="53"/>
      <c r="W76" s="50"/>
      <c r="X76" s="50"/>
    </row>
    <row r="77" spans="1:24">
      <c r="A77" s="54" t="s">
        <v>32</v>
      </c>
      <c r="B77" s="48"/>
      <c r="C77" s="48"/>
      <c r="D77" s="43"/>
      <c r="E77" s="173"/>
      <c r="F77" s="64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24">
      <c r="A78" s="47"/>
      <c r="B78" s="48"/>
      <c r="C78" s="48"/>
      <c r="D78" s="49"/>
      <c r="E78" s="65">
        <v>153364600</v>
      </c>
      <c r="F78" s="49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24">
      <c r="A79" s="49" t="s">
        <v>15</v>
      </c>
      <c r="B79" s="48">
        <v>0</v>
      </c>
      <c r="C79" s="48">
        <v>0</v>
      </c>
      <c r="D79" s="43">
        <v>0</v>
      </c>
      <c r="E79" s="173"/>
      <c r="F79" s="43">
        <v>0</v>
      </c>
      <c r="G79" s="53"/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/>
      <c r="N79" s="53">
        <f>L79-M79</f>
        <v>0</v>
      </c>
      <c r="O79" s="53"/>
      <c r="P79" s="53"/>
      <c r="Q79" s="53">
        <f>N79-O79-P79</f>
        <v>0</v>
      </c>
      <c r="T79" s="53"/>
    </row>
    <row r="80" spans="1:24">
      <c r="A80" s="47" t="s">
        <v>16</v>
      </c>
      <c r="B80" s="48">
        <f>B79</f>
        <v>0</v>
      </c>
      <c r="C80" s="48">
        <f>C79</f>
        <v>0</v>
      </c>
      <c r="D80" s="43"/>
      <c r="E80" s="173"/>
      <c r="F80" s="416">
        <f>IF(E78&gt;E79,E78-E79,0)</f>
        <v>153364600</v>
      </c>
      <c r="G80" s="53">
        <v>0</v>
      </c>
      <c r="H80" s="53"/>
      <c r="I80" s="53">
        <v>0</v>
      </c>
      <c r="J80" s="53"/>
      <c r="K80" s="53"/>
      <c r="L80" s="53">
        <v>0</v>
      </c>
      <c r="M80" s="53"/>
      <c r="N80" s="53">
        <f>L80-M80</f>
        <v>0</v>
      </c>
      <c r="O80" s="53"/>
      <c r="P80" s="53"/>
      <c r="Q80" s="53">
        <f>N80-O80-P80</f>
        <v>0</v>
      </c>
    </row>
    <row r="81" spans="1:24">
      <c r="A81" s="47" t="s">
        <v>17</v>
      </c>
      <c r="B81" s="48">
        <f>B79</f>
        <v>0</v>
      </c>
      <c r="C81" s="48">
        <f>C79</f>
        <v>0</v>
      </c>
      <c r="D81" s="43"/>
      <c r="E81" s="173"/>
      <c r="F81" s="66">
        <v>28584493</v>
      </c>
      <c r="G81" s="53"/>
      <c r="H81" s="53">
        <f>F81*C81/100</f>
        <v>0</v>
      </c>
      <c r="I81" s="53">
        <f>F81*C81/100</f>
        <v>0</v>
      </c>
      <c r="J81" s="53"/>
      <c r="K81" s="53"/>
      <c r="L81" s="53">
        <f>G81+H81+I81-J81+K81</f>
        <v>0</v>
      </c>
      <c r="M81" s="53"/>
      <c r="N81" s="53">
        <f>L81-M81</f>
        <v>0</v>
      </c>
      <c r="O81" s="53"/>
      <c r="P81" s="53"/>
      <c r="Q81" s="53">
        <f>N81-O81-P81</f>
        <v>0</v>
      </c>
    </row>
    <row r="82" spans="1:24">
      <c r="A82" s="47" t="s">
        <v>18</v>
      </c>
      <c r="B82" s="48"/>
      <c r="C82" s="48"/>
      <c r="D82" s="43"/>
      <c r="E82" s="173"/>
      <c r="F82" s="4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1:24">
      <c r="A83" s="67" t="s">
        <v>19</v>
      </c>
      <c r="B83" s="48">
        <f>B79</f>
        <v>0</v>
      </c>
      <c r="C83" s="48">
        <f>C79</f>
        <v>0</v>
      </c>
      <c r="D83" s="43"/>
      <c r="E83" s="173"/>
      <c r="F83" s="43"/>
      <c r="G83" s="53"/>
      <c r="H83" s="53"/>
      <c r="I83" s="53"/>
      <c r="J83" s="53"/>
      <c r="K83" s="53"/>
      <c r="L83" s="53">
        <f>G83+H83+I83-J83+K83</f>
        <v>0</v>
      </c>
      <c r="M83" s="53"/>
      <c r="N83" s="53">
        <f>L83-M83</f>
        <v>0</v>
      </c>
      <c r="O83" s="53"/>
      <c r="P83" s="53"/>
      <c r="Q83" s="53">
        <f>N83-O83-P83</f>
        <v>0</v>
      </c>
    </row>
    <row r="84" spans="1:24">
      <c r="A84" s="67" t="s">
        <v>20</v>
      </c>
      <c r="B84" s="48">
        <f>B79</f>
        <v>0</v>
      </c>
      <c r="C84" s="48">
        <f>C79</f>
        <v>0</v>
      </c>
      <c r="D84" s="43"/>
      <c r="E84" s="173"/>
      <c r="F84" s="43"/>
      <c r="G84" s="53"/>
      <c r="H84" s="53"/>
      <c r="I84" s="53"/>
      <c r="J84" s="53"/>
      <c r="K84" s="53"/>
      <c r="L84" s="53">
        <f>G84+H84+I84-J84+K84</f>
        <v>0</v>
      </c>
      <c r="M84" s="53"/>
      <c r="N84" s="53">
        <f>L84-M84</f>
        <v>0</v>
      </c>
      <c r="O84" s="53"/>
      <c r="P84" s="53"/>
      <c r="Q84" s="53">
        <f>N84-O84-P84</f>
        <v>0</v>
      </c>
    </row>
    <row r="85" spans="1:24">
      <c r="A85" s="47"/>
      <c r="B85" s="48"/>
      <c r="C85" s="48"/>
      <c r="D85" s="43"/>
      <c r="E85" s="173"/>
      <c r="F85" s="4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pans="1:24" s="50" customFormat="1">
      <c r="A86" s="57" t="str">
        <f>"TOTAL "&amp;A77</f>
        <v>TOTAL SCHOOL DEBT</v>
      </c>
      <c r="B86" s="51">
        <f>B79</f>
        <v>0</v>
      </c>
      <c r="C86" s="51">
        <f>C79</f>
        <v>0</v>
      </c>
      <c r="D86" s="78">
        <f t="shared" ref="D86:Q86" si="25">SUM(D79:D81,D83:D84)</f>
        <v>0</v>
      </c>
      <c r="E86" s="206"/>
      <c r="F86" s="78">
        <f t="shared" si="25"/>
        <v>181949093</v>
      </c>
      <c r="G86" s="79">
        <f t="shared" si="25"/>
        <v>0</v>
      </c>
      <c r="H86" s="79">
        <f t="shared" si="25"/>
        <v>0</v>
      </c>
      <c r="I86" s="79">
        <f t="shared" si="25"/>
        <v>0</v>
      </c>
      <c r="J86" s="79">
        <f t="shared" si="25"/>
        <v>0</v>
      </c>
      <c r="K86" s="79">
        <f t="shared" si="25"/>
        <v>0</v>
      </c>
      <c r="L86" s="79">
        <f t="shared" si="25"/>
        <v>0</v>
      </c>
      <c r="M86" s="79">
        <f t="shared" si="25"/>
        <v>0</v>
      </c>
      <c r="N86" s="79">
        <f t="shared" si="25"/>
        <v>0</v>
      </c>
      <c r="O86" s="79">
        <f t="shared" si="25"/>
        <v>0</v>
      </c>
      <c r="P86" s="79">
        <f t="shared" si="25"/>
        <v>0</v>
      </c>
      <c r="Q86" s="79">
        <f t="shared" si="25"/>
        <v>0</v>
      </c>
      <c r="S86" s="183">
        <f>C86/B88</f>
        <v>0</v>
      </c>
      <c r="W86" s="49"/>
      <c r="X86" s="49"/>
    </row>
    <row r="87" spans="1:24">
      <c r="A87" s="47"/>
      <c r="B87" s="48"/>
      <c r="C87" s="48"/>
      <c r="D87" s="43"/>
      <c r="E87" s="173"/>
      <c r="F87" s="4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W87" s="50"/>
      <c r="X87" s="50"/>
    </row>
    <row r="88" spans="1:24" s="50" customFormat="1" ht="13.5" thickBot="1">
      <c r="A88" s="60" t="str">
        <f>"TOTAL "&amp;A66</f>
        <v>TOTAL SCHOOL DISTRICT</v>
      </c>
      <c r="B88" s="68">
        <f>B75+B86</f>
        <v>0.75</v>
      </c>
      <c r="C88" s="68">
        <f>C75+C86</f>
        <v>0</v>
      </c>
      <c r="D88" s="69">
        <f>D75</f>
        <v>3843</v>
      </c>
      <c r="E88" s="204"/>
      <c r="F88" s="69">
        <f>F75</f>
        <v>889897213.28000009</v>
      </c>
      <c r="G88" s="70">
        <f t="shared" ref="G88:Q88" si="26">G75+G86</f>
        <v>1265269.49</v>
      </c>
      <c r="H88" s="70">
        <f t="shared" si="26"/>
        <v>8073406.5674999999</v>
      </c>
      <c r="I88" s="70">
        <f t="shared" si="26"/>
        <v>0</v>
      </c>
      <c r="J88" s="70">
        <f t="shared" si="26"/>
        <v>2664450.23</v>
      </c>
      <c r="K88" s="70">
        <f t="shared" si="26"/>
        <v>21.67</v>
      </c>
      <c r="L88" s="70">
        <f t="shared" si="26"/>
        <v>6674247.4975000005</v>
      </c>
      <c r="M88" s="70">
        <f t="shared" si="26"/>
        <v>135728.54999999999</v>
      </c>
      <c r="N88" s="70">
        <f t="shared" si="26"/>
        <v>6538518.9474999998</v>
      </c>
      <c r="O88" s="70">
        <f t="shared" si="26"/>
        <v>0</v>
      </c>
      <c r="P88" s="70">
        <f t="shared" si="26"/>
        <v>427636.57</v>
      </c>
      <c r="Q88" s="70">
        <f t="shared" si="26"/>
        <v>6110882.3774999995</v>
      </c>
      <c r="W88" s="49"/>
      <c r="X88" s="49"/>
    </row>
    <row r="89" spans="1:24">
      <c r="A89" s="150" t="s">
        <v>355</v>
      </c>
      <c r="B89" s="48"/>
      <c r="C89" s="48"/>
      <c r="D89" s="43"/>
      <c r="E89" s="173"/>
      <c r="F89" s="64">
        <v>889897235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W89" s="50"/>
      <c r="X89" s="50"/>
    </row>
    <row r="90" spans="1:24">
      <c r="A90" s="151" t="s">
        <v>30</v>
      </c>
      <c r="B90" s="51"/>
      <c r="C90" s="51"/>
      <c r="D90" s="52"/>
      <c r="E90" s="203"/>
      <c r="F90" s="152">
        <f>F88-F89</f>
        <v>-21.71999990940094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1:24">
      <c r="A91" s="54" t="s">
        <v>106</v>
      </c>
      <c r="B91" s="48"/>
      <c r="C91" s="48"/>
      <c r="D91" s="43"/>
      <c r="E91" s="173"/>
      <c r="F91" s="43"/>
      <c r="G91" s="64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1:24">
      <c r="A92" s="50"/>
      <c r="B92" s="51"/>
      <c r="C92" s="51"/>
      <c r="D92" s="52"/>
      <c r="E92" s="65">
        <v>1722768</v>
      </c>
      <c r="F92" s="52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1:24">
      <c r="A93" s="49" t="s">
        <v>15</v>
      </c>
      <c r="B93" s="48">
        <v>0.21529999999999999</v>
      </c>
      <c r="C93" s="48">
        <v>0</v>
      </c>
      <c r="D93" s="43">
        <v>493</v>
      </c>
      <c r="E93" s="173">
        <f>G93/B93*100</f>
        <v>12466.326056665119</v>
      </c>
      <c r="F93" s="43">
        <v>5846926</v>
      </c>
      <c r="G93" s="53">
        <v>26.84</v>
      </c>
      <c r="H93" s="53">
        <v>12687.02</v>
      </c>
      <c r="I93" s="53">
        <v>0</v>
      </c>
      <c r="J93" s="53">
        <v>125.4</v>
      </c>
      <c r="K93" s="53">
        <v>3.2</v>
      </c>
      <c r="L93" s="53">
        <f>G93+H93+I93-J93+K93</f>
        <v>12591.660000000002</v>
      </c>
      <c r="M93" s="53">
        <v>1472.83</v>
      </c>
      <c r="N93" s="53">
        <f>L93-M93</f>
        <v>11118.830000000002</v>
      </c>
      <c r="O93" s="53">
        <v>0</v>
      </c>
      <c r="P93" s="53">
        <v>0</v>
      </c>
      <c r="Q93" s="53">
        <f>N93-O93-P93</f>
        <v>11118.830000000002</v>
      </c>
    </row>
    <row r="94" spans="1:24">
      <c r="A94" s="47" t="s">
        <v>16</v>
      </c>
      <c r="B94" s="48">
        <f>B$93</f>
        <v>0.21529999999999999</v>
      </c>
      <c r="C94" s="48">
        <f>C$93</f>
        <v>0</v>
      </c>
      <c r="D94" s="43"/>
      <c r="E94" s="173"/>
      <c r="F94" s="65">
        <f>IF(E92&gt;E93,E92-E93,0)</f>
        <v>1710301.673943335</v>
      </c>
      <c r="G94" s="53">
        <f>F94*(B94-C94)/100</f>
        <v>3682.2795040000001</v>
      </c>
      <c r="H94" s="53"/>
      <c r="I94" s="53">
        <f>F94*C94/100</f>
        <v>0</v>
      </c>
      <c r="J94" s="53"/>
      <c r="K94" s="53"/>
      <c r="L94" s="53">
        <f>G94+H94+I94-J94+K94</f>
        <v>3682.2795040000001</v>
      </c>
      <c r="M94" s="53"/>
      <c r="N94" s="53">
        <f>L94-M94</f>
        <v>3682.2795040000001</v>
      </c>
      <c r="O94" s="53"/>
      <c r="P94" s="53"/>
      <c r="Q94" s="53">
        <f>N94-O94-P94</f>
        <v>3682.2795040000001</v>
      </c>
    </row>
    <row r="95" spans="1:24">
      <c r="A95" s="47" t="s">
        <v>17</v>
      </c>
      <c r="B95" s="48">
        <f t="shared" ref="B95:C98" si="27">B$93</f>
        <v>0.21529999999999999</v>
      </c>
      <c r="C95" s="48">
        <f t="shared" si="27"/>
        <v>0</v>
      </c>
      <c r="D95" s="43"/>
      <c r="E95" s="173"/>
      <c r="F95" s="66">
        <v>490912</v>
      </c>
      <c r="G95" s="53"/>
      <c r="H95" s="53">
        <f>F95*(B95-C95)/100</f>
        <v>1056.933536</v>
      </c>
      <c r="I95" s="53">
        <f>F95*C95/100</f>
        <v>0</v>
      </c>
      <c r="J95" s="53">
        <v>0</v>
      </c>
      <c r="K95" s="53">
        <v>0</v>
      </c>
      <c r="L95" s="53">
        <f>G95+H95+I95-J95+K95</f>
        <v>1056.933536</v>
      </c>
      <c r="M95" s="53">
        <v>0</v>
      </c>
      <c r="N95" s="53">
        <f>L95-M95</f>
        <v>1056.933536</v>
      </c>
      <c r="O95" s="53">
        <v>0</v>
      </c>
      <c r="P95" s="53">
        <v>0</v>
      </c>
      <c r="Q95" s="53">
        <f>N95-O95-P95</f>
        <v>1056.933536</v>
      </c>
    </row>
    <row r="96" spans="1:24">
      <c r="A96" s="47" t="s">
        <v>18</v>
      </c>
      <c r="B96" s="48"/>
      <c r="C96" s="48"/>
      <c r="D96" s="43"/>
      <c r="E96" s="173"/>
      <c r="F96" s="4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1:24">
      <c r="A97" s="67" t="s">
        <v>19</v>
      </c>
      <c r="B97" s="48">
        <f t="shared" si="27"/>
        <v>0.21529999999999999</v>
      </c>
      <c r="C97" s="48">
        <f t="shared" si="27"/>
        <v>0</v>
      </c>
      <c r="D97" s="43"/>
      <c r="E97" s="173"/>
      <c r="F97" s="43">
        <v>520148.98</v>
      </c>
      <c r="G97" s="53">
        <v>41.08</v>
      </c>
      <c r="H97" s="53">
        <v>1078.9000000000001</v>
      </c>
      <c r="I97" s="53">
        <v>0</v>
      </c>
      <c r="J97" s="53">
        <v>47.02</v>
      </c>
      <c r="K97" s="53">
        <v>0</v>
      </c>
      <c r="L97" s="53">
        <f>G97+H97+I97-J97+K97</f>
        <v>1072.96</v>
      </c>
      <c r="M97" s="53">
        <v>57.23</v>
      </c>
      <c r="N97" s="53">
        <f>L97-M97</f>
        <v>1015.73</v>
      </c>
      <c r="O97" s="53">
        <v>0</v>
      </c>
      <c r="P97" s="53">
        <v>0</v>
      </c>
      <c r="Q97" s="53">
        <f>N97-O97-P97</f>
        <v>1015.73</v>
      </c>
    </row>
    <row r="98" spans="1:24">
      <c r="A98" s="67" t="s">
        <v>20</v>
      </c>
      <c r="B98" s="48">
        <f t="shared" si="27"/>
        <v>0.21529999999999999</v>
      </c>
      <c r="C98" s="48">
        <f t="shared" si="27"/>
        <v>0</v>
      </c>
      <c r="D98" s="43"/>
      <c r="E98" s="173"/>
      <c r="F98" s="43">
        <v>128232.51</v>
      </c>
      <c r="G98" s="53">
        <v>276.08</v>
      </c>
      <c r="H98" s="53">
        <v>0</v>
      </c>
      <c r="I98" s="53">
        <v>0</v>
      </c>
      <c r="J98" s="53">
        <v>0</v>
      </c>
      <c r="K98" s="53">
        <v>0</v>
      </c>
      <c r="L98" s="53">
        <f>G98+H98+I98-J98+K98</f>
        <v>276.08</v>
      </c>
      <c r="M98" s="53">
        <v>0</v>
      </c>
      <c r="N98" s="53">
        <f>L98-M98</f>
        <v>276.08</v>
      </c>
      <c r="O98" s="53">
        <v>0</v>
      </c>
      <c r="P98" s="53">
        <v>0</v>
      </c>
      <c r="Q98" s="53">
        <f>N98-O98-P98</f>
        <v>276.08</v>
      </c>
    </row>
    <row r="99" spans="1:24">
      <c r="A99" s="47"/>
      <c r="B99" s="48"/>
      <c r="C99" s="48"/>
      <c r="D99" s="43"/>
      <c r="E99" s="173"/>
      <c r="F99" s="4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1:24" s="50" customFormat="1" ht="13.5" thickBot="1">
      <c r="A100" s="60" t="str">
        <f>"TOTAL "&amp;A91</f>
        <v>TOTAL CRESCENT VALLEY TOWN</v>
      </c>
      <c r="B100" s="68">
        <f>B93</f>
        <v>0.21529999999999999</v>
      </c>
      <c r="C100" s="68">
        <f>C93</f>
        <v>0</v>
      </c>
      <c r="D100" s="69">
        <f t="shared" ref="D100:Q100" si="28">SUM(D93:D95,D97:D98)</f>
        <v>493</v>
      </c>
      <c r="E100" s="204"/>
      <c r="F100" s="69">
        <f t="shared" si="28"/>
        <v>8696521.1639433354</v>
      </c>
      <c r="G100" s="70">
        <f t="shared" si="28"/>
        <v>4026.2795040000001</v>
      </c>
      <c r="H100" s="70">
        <f t="shared" si="28"/>
        <v>14822.853536000001</v>
      </c>
      <c r="I100" s="70">
        <f t="shared" si="28"/>
        <v>0</v>
      </c>
      <c r="J100" s="70">
        <f t="shared" si="28"/>
        <v>172.42000000000002</v>
      </c>
      <c r="K100" s="70">
        <f t="shared" si="28"/>
        <v>3.2</v>
      </c>
      <c r="L100" s="70">
        <f t="shared" si="28"/>
        <v>18679.913040000003</v>
      </c>
      <c r="M100" s="70">
        <f t="shared" si="28"/>
        <v>1530.06</v>
      </c>
      <c r="N100" s="70">
        <f t="shared" si="28"/>
        <v>17149.853040000005</v>
      </c>
      <c r="O100" s="70">
        <f t="shared" si="28"/>
        <v>0</v>
      </c>
      <c r="P100" s="70">
        <f t="shared" si="28"/>
        <v>0</v>
      </c>
      <c r="Q100" s="70">
        <f t="shared" si="28"/>
        <v>17149.853040000005</v>
      </c>
      <c r="W100" s="49"/>
      <c r="X100" s="49"/>
    </row>
    <row r="101" spans="1:24">
      <c r="A101" s="150" t="s">
        <v>355</v>
      </c>
      <c r="B101" s="48"/>
      <c r="C101" s="48"/>
      <c r="D101" s="43"/>
      <c r="E101" s="173"/>
      <c r="F101" s="64">
        <v>8674731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W101" s="50"/>
      <c r="X101" s="50"/>
    </row>
    <row r="102" spans="1:24">
      <c r="A102" s="151" t="s">
        <v>30</v>
      </c>
      <c r="B102" s="51"/>
      <c r="C102" s="51"/>
      <c r="D102" s="52"/>
      <c r="E102" s="203"/>
      <c r="F102" s="152">
        <f>F100-F101</f>
        <v>21790.163943335414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1:24">
      <c r="A103" s="54" t="s">
        <v>107</v>
      </c>
      <c r="B103" s="51"/>
      <c r="C103" s="51"/>
      <c r="D103" s="52"/>
      <c r="E103" s="203"/>
      <c r="F103" s="52"/>
      <c r="G103" s="64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1:24">
      <c r="A104" s="47"/>
      <c r="B104" s="48"/>
      <c r="C104" s="48"/>
      <c r="D104" s="43"/>
      <c r="E104" s="65">
        <v>463044</v>
      </c>
      <c r="F104" s="4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</row>
    <row r="105" spans="1:24">
      <c r="A105" s="49" t="s">
        <v>15</v>
      </c>
      <c r="B105" s="48">
        <v>0.21529999999999999</v>
      </c>
      <c r="C105" s="48">
        <v>0</v>
      </c>
      <c r="D105">
        <v>401</v>
      </c>
      <c r="E105" s="454">
        <f>G105/B105*100</f>
        <v>123715.74547143521</v>
      </c>
      <c r="F105" s="43">
        <v>19755445</v>
      </c>
      <c r="G105" s="53">
        <v>266.36</v>
      </c>
      <c r="H105" s="53">
        <v>42288.49</v>
      </c>
      <c r="I105" s="53">
        <v>0</v>
      </c>
      <c r="J105" s="53">
        <v>21.4</v>
      </c>
      <c r="K105" s="53">
        <v>1.78</v>
      </c>
      <c r="L105" s="53">
        <f>G105+H105+I105-J105+K105</f>
        <v>42535.229999999996</v>
      </c>
      <c r="M105" s="53">
        <v>3867.07</v>
      </c>
      <c r="N105" s="53">
        <f>L105-M105</f>
        <v>38668.159999999996</v>
      </c>
      <c r="O105" s="53">
        <v>0</v>
      </c>
      <c r="P105" s="53">
        <v>0</v>
      </c>
      <c r="Q105" s="53">
        <f>N105-O105-P105</f>
        <v>38668.159999999996</v>
      </c>
    </row>
    <row r="106" spans="1:24">
      <c r="A106" s="47" t="s">
        <v>16</v>
      </c>
      <c r="B106" s="48">
        <f>B$105</f>
        <v>0.21529999999999999</v>
      </c>
      <c r="C106" s="48">
        <f>C$105</f>
        <v>0</v>
      </c>
      <c r="D106" s="43"/>
      <c r="E106" s="173"/>
      <c r="F106" s="65">
        <f>IF(E104&gt;E105,E104-E105,0)</f>
        <v>339328.25452856481</v>
      </c>
      <c r="G106" s="53">
        <f>F106*(B106-C106)/100</f>
        <v>730.57373200000006</v>
      </c>
      <c r="H106" s="53"/>
      <c r="I106" s="53">
        <f>F106*C106/100</f>
        <v>0</v>
      </c>
      <c r="J106" s="53"/>
      <c r="K106" s="53"/>
      <c r="L106" s="53">
        <f>G106+H106+I106-J106+K106</f>
        <v>730.57373200000006</v>
      </c>
      <c r="M106" s="53"/>
      <c r="N106" s="53">
        <f>L106-M106</f>
        <v>730.57373200000006</v>
      </c>
      <c r="O106" s="53"/>
      <c r="P106" s="53"/>
      <c r="Q106" s="53">
        <f>N106-O106-P106</f>
        <v>730.57373200000006</v>
      </c>
    </row>
    <row r="107" spans="1:24">
      <c r="A107" s="47" t="s">
        <v>17</v>
      </c>
      <c r="B107" s="48">
        <f t="shared" ref="B107:C110" si="29">B$105</f>
        <v>0.21529999999999999</v>
      </c>
      <c r="C107" s="48">
        <f t="shared" si="29"/>
        <v>0</v>
      </c>
      <c r="D107" s="43"/>
      <c r="E107" s="173"/>
      <c r="F107" s="66">
        <v>136811</v>
      </c>
      <c r="G107" s="53"/>
      <c r="H107" s="53">
        <f>F107*(B107-C107)/100</f>
        <v>294.55408299999999</v>
      </c>
      <c r="I107" s="53">
        <f>F107*C107/100</f>
        <v>0</v>
      </c>
      <c r="J107" s="53">
        <v>0</v>
      </c>
      <c r="K107" s="53">
        <v>0</v>
      </c>
      <c r="L107" s="53">
        <f>G107+H107+I107-J107+K107</f>
        <v>294.55408299999999</v>
      </c>
      <c r="M107" s="53">
        <v>0</v>
      </c>
      <c r="N107" s="53">
        <f>L107-M107</f>
        <v>294.55408299999999</v>
      </c>
      <c r="O107" s="53">
        <v>0</v>
      </c>
      <c r="P107" s="53">
        <v>0</v>
      </c>
      <c r="Q107" s="53">
        <f>N107-O107-P107</f>
        <v>294.55408299999999</v>
      </c>
    </row>
    <row r="108" spans="1:24">
      <c r="A108" s="47" t="s">
        <v>18</v>
      </c>
      <c r="B108" s="48"/>
      <c r="C108" s="48"/>
      <c r="D108" s="43"/>
      <c r="E108" s="173"/>
      <c r="F108" s="4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1:24">
      <c r="A109" s="67" t="s">
        <v>19</v>
      </c>
      <c r="B109" s="48">
        <f t="shared" si="29"/>
        <v>0.21529999999999999</v>
      </c>
      <c r="C109" s="48">
        <f t="shared" si="29"/>
        <v>0</v>
      </c>
      <c r="D109" s="43"/>
      <c r="E109" s="173"/>
      <c r="F109" s="43">
        <v>1170938.69</v>
      </c>
      <c r="G109" s="53">
        <v>114.32</v>
      </c>
      <c r="H109" s="53">
        <v>2406.8000000000002</v>
      </c>
      <c r="I109" s="53">
        <v>0</v>
      </c>
      <c r="J109" s="53">
        <v>41.55</v>
      </c>
      <c r="K109" s="53">
        <v>0</v>
      </c>
      <c r="L109" s="53">
        <f>G109+H109+I109-J109+K109</f>
        <v>2479.5700000000002</v>
      </c>
      <c r="M109" s="53">
        <v>0.28000000000000003</v>
      </c>
      <c r="N109" s="53">
        <f>L109-M109</f>
        <v>2479.29</v>
      </c>
      <c r="O109" s="53">
        <v>0</v>
      </c>
      <c r="P109" s="53">
        <v>0</v>
      </c>
      <c r="Q109" s="53">
        <f>N109-O109-P109</f>
        <v>2479.29</v>
      </c>
      <c r="S109" s="53">
        <f>+N109-Q109</f>
        <v>0</v>
      </c>
    </row>
    <row r="110" spans="1:24">
      <c r="A110" s="67" t="s">
        <v>20</v>
      </c>
      <c r="B110" s="48">
        <f t="shared" si="29"/>
        <v>0.21529999999999999</v>
      </c>
      <c r="C110" s="48">
        <f t="shared" si="29"/>
        <v>0</v>
      </c>
      <c r="D110" s="43"/>
      <c r="E110" s="173"/>
      <c r="F110" s="43">
        <v>28697.39</v>
      </c>
      <c r="G110" s="53">
        <v>61.78</v>
      </c>
      <c r="H110" s="53">
        <v>0</v>
      </c>
      <c r="I110" s="53">
        <v>0</v>
      </c>
      <c r="J110" s="53">
        <v>0</v>
      </c>
      <c r="K110" s="53">
        <v>0</v>
      </c>
      <c r="L110" s="53">
        <f>G110+H110+I110-J110+K110</f>
        <v>61.78</v>
      </c>
      <c r="M110" s="53">
        <v>0</v>
      </c>
      <c r="N110" s="53">
        <f>L110-M110</f>
        <v>61.78</v>
      </c>
      <c r="O110" s="53">
        <v>0</v>
      </c>
      <c r="P110" s="53">
        <v>0</v>
      </c>
      <c r="Q110" s="53">
        <f>N110-O110-P110</f>
        <v>61.78</v>
      </c>
    </row>
    <row r="111" spans="1:24">
      <c r="A111" s="47"/>
      <c r="B111" s="48"/>
      <c r="C111" s="48"/>
      <c r="D111" s="43"/>
      <c r="E111" s="173"/>
      <c r="F111" s="4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24" s="50" customFormat="1" ht="13.5" thickBot="1">
      <c r="A112" s="60" t="str">
        <f>"TOTAL "&amp;A103</f>
        <v>TOTAL EUREKA TOWN</v>
      </c>
      <c r="B112" s="68">
        <f>B105</f>
        <v>0.21529999999999999</v>
      </c>
      <c r="C112" s="68">
        <f>C105</f>
        <v>0</v>
      </c>
      <c r="D112" s="69">
        <f t="shared" ref="D112:Q112" si="30">SUM(D105:D107,D109:D110)</f>
        <v>401</v>
      </c>
      <c r="E112" s="204"/>
      <c r="F112" s="69">
        <f t="shared" si="30"/>
        <v>21431220.334528565</v>
      </c>
      <c r="G112" s="70">
        <f t="shared" si="30"/>
        <v>1173.0337320000001</v>
      </c>
      <c r="H112" s="70">
        <f t="shared" si="30"/>
        <v>44989.844083000004</v>
      </c>
      <c r="I112" s="70">
        <f t="shared" si="30"/>
        <v>0</v>
      </c>
      <c r="J112" s="70">
        <f t="shared" si="30"/>
        <v>62.949999999999996</v>
      </c>
      <c r="K112" s="70">
        <f t="shared" si="30"/>
        <v>1.78</v>
      </c>
      <c r="L112" s="70">
        <f t="shared" si="30"/>
        <v>46101.707814999994</v>
      </c>
      <c r="M112" s="70">
        <f t="shared" si="30"/>
        <v>3867.3500000000004</v>
      </c>
      <c r="N112" s="70">
        <f t="shared" si="30"/>
        <v>42234.357814999996</v>
      </c>
      <c r="O112" s="70">
        <f t="shared" si="30"/>
        <v>0</v>
      </c>
      <c r="P112" s="70">
        <f t="shared" si="30"/>
        <v>0</v>
      </c>
      <c r="Q112" s="70">
        <f t="shared" si="30"/>
        <v>42234.357814999996</v>
      </c>
      <c r="W112" s="49"/>
      <c r="X112" s="49"/>
    </row>
    <row r="113" spans="1:24">
      <c r="A113" s="150" t="s">
        <v>355</v>
      </c>
      <c r="B113" s="48"/>
      <c r="C113" s="48"/>
      <c r="D113" s="43"/>
      <c r="E113" s="173"/>
      <c r="F113" s="64">
        <v>21411958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W113" s="50"/>
      <c r="X113" s="50"/>
    </row>
    <row r="114" spans="1:24">
      <c r="A114" s="151" t="s">
        <v>30</v>
      </c>
      <c r="B114" s="51"/>
      <c r="C114" s="51"/>
      <c r="D114" s="52"/>
      <c r="E114" s="203"/>
      <c r="F114" s="152">
        <f>F112-F113</f>
        <v>19262.334528565407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1:24" hidden="1">
      <c r="A115" s="246" t="s">
        <v>108</v>
      </c>
      <c r="B115" s="247"/>
      <c r="C115" s="247"/>
      <c r="D115" s="248"/>
      <c r="E115" s="248"/>
      <c r="F115" s="248"/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249"/>
    </row>
    <row r="116" spans="1:24" hidden="1">
      <c r="A116" s="250"/>
      <c r="B116" s="247"/>
      <c r="C116" s="247"/>
      <c r="D116" s="248"/>
      <c r="E116" s="248"/>
      <c r="F116" s="248"/>
      <c r="G116" s="249"/>
      <c r="H116" s="249"/>
      <c r="I116" s="249"/>
      <c r="J116" s="249"/>
      <c r="K116" s="249"/>
      <c r="L116" s="249"/>
      <c r="M116" s="249"/>
      <c r="N116" s="249"/>
      <c r="O116" s="249"/>
      <c r="P116" s="249"/>
      <c r="Q116" s="249"/>
    </row>
    <row r="117" spans="1:24" hidden="1">
      <c r="A117" s="251" t="s">
        <v>15</v>
      </c>
      <c r="B117" s="247"/>
      <c r="C117" s="247"/>
      <c r="D117" s="248"/>
      <c r="E117" s="248" t="e">
        <f>G117/B117*100</f>
        <v>#DIV/0!</v>
      </c>
      <c r="F117" s="248"/>
      <c r="G117" s="249"/>
      <c r="H117" s="249"/>
      <c r="I117" s="249"/>
      <c r="J117" s="249"/>
      <c r="K117" s="249"/>
      <c r="L117" s="249">
        <f>G117+H117+I117-J117+K117</f>
        <v>0</v>
      </c>
      <c r="M117" s="249"/>
      <c r="N117" s="249">
        <f>L117-M117</f>
        <v>0</v>
      </c>
      <c r="O117" s="249"/>
      <c r="P117" s="249"/>
      <c r="Q117" s="249">
        <f>N117-O117-P117</f>
        <v>0</v>
      </c>
    </row>
    <row r="118" spans="1:24" hidden="1">
      <c r="A118" s="250" t="s">
        <v>16</v>
      </c>
      <c r="B118" s="247">
        <v>0.04</v>
      </c>
      <c r="C118" s="247">
        <f>C$117</f>
        <v>0</v>
      </c>
      <c r="D118" s="248"/>
      <c r="E118" s="248"/>
      <c r="F118" s="248"/>
      <c r="G118" s="249">
        <f>F118*(B118-C118)/100</f>
        <v>0</v>
      </c>
      <c r="H118" s="249"/>
      <c r="I118" s="249">
        <f>F118*C118/100</f>
        <v>0</v>
      </c>
      <c r="J118" s="249"/>
      <c r="K118" s="249"/>
      <c r="L118" s="249">
        <f>G118+H118+I118-J118+K118</f>
        <v>0</v>
      </c>
      <c r="M118" s="249"/>
      <c r="N118" s="249">
        <f>L118-M118</f>
        <v>0</v>
      </c>
      <c r="O118" s="249"/>
      <c r="P118" s="249"/>
      <c r="Q118" s="249">
        <f>N118-O118-P118</f>
        <v>0</v>
      </c>
    </row>
    <row r="119" spans="1:24" hidden="1">
      <c r="A119" s="250" t="s">
        <v>17</v>
      </c>
      <c r="B119" s="247">
        <f t="shared" ref="B119:C122" si="31">B$117</f>
        <v>0</v>
      </c>
      <c r="C119" s="247">
        <f t="shared" si="31"/>
        <v>0</v>
      </c>
      <c r="D119" s="248"/>
      <c r="E119" s="248"/>
      <c r="F119" s="248"/>
      <c r="G119" s="249"/>
      <c r="H119" s="249">
        <f>F119*(B119-C119)/100</f>
        <v>0</v>
      </c>
      <c r="I119" s="249">
        <f>F119*C119/100</f>
        <v>0</v>
      </c>
      <c r="J119" s="249"/>
      <c r="K119" s="249"/>
      <c r="L119" s="249">
        <f>G119+H119+I119-J119+K119</f>
        <v>0</v>
      </c>
      <c r="M119" s="249"/>
      <c r="N119" s="249">
        <f>L119-M119</f>
        <v>0</v>
      </c>
      <c r="O119" s="249"/>
      <c r="P119" s="249"/>
      <c r="Q119" s="249">
        <f>N119-O119-P119</f>
        <v>0</v>
      </c>
    </row>
    <row r="120" spans="1:24" hidden="1">
      <c r="A120" s="250" t="s">
        <v>18</v>
      </c>
      <c r="B120" s="247"/>
      <c r="C120" s="247"/>
      <c r="D120" s="248"/>
      <c r="E120" s="248"/>
      <c r="F120" s="248"/>
      <c r="G120" s="249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</row>
    <row r="121" spans="1:24" hidden="1">
      <c r="A121" s="252" t="s">
        <v>19</v>
      </c>
      <c r="B121" s="513">
        <v>0.04</v>
      </c>
      <c r="C121" s="247">
        <f t="shared" si="31"/>
        <v>0</v>
      </c>
      <c r="D121" s="248"/>
      <c r="E121" s="248"/>
      <c r="F121" s="248">
        <v>1206030.81</v>
      </c>
      <c r="G121" s="249">
        <v>11.45</v>
      </c>
      <c r="H121" s="249">
        <v>470.96</v>
      </c>
      <c r="I121" s="249">
        <v>0</v>
      </c>
      <c r="J121" s="249">
        <v>19.13</v>
      </c>
      <c r="K121" s="249">
        <v>0</v>
      </c>
      <c r="L121" s="249">
        <f>G121+H121+I121-J121+K121</f>
        <v>463.28</v>
      </c>
      <c r="M121" s="249">
        <v>3.86</v>
      </c>
      <c r="N121" s="249">
        <f>L121-M121</f>
        <v>459.41999999999996</v>
      </c>
      <c r="O121" s="249"/>
      <c r="P121" s="249"/>
      <c r="Q121" s="53">
        <f>N121-O121-P121</f>
        <v>459.41999999999996</v>
      </c>
    </row>
    <row r="122" spans="1:24" hidden="1">
      <c r="A122" s="252" t="s">
        <v>20</v>
      </c>
      <c r="B122" s="247"/>
      <c r="C122" s="247">
        <f t="shared" si="31"/>
        <v>0</v>
      </c>
      <c r="D122" s="248"/>
      <c r="E122" s="248"/>
      <c r="F122" s="248"/>
      <c r="G122" s="249"/>
      <c r="H122" s="249"/>
      <c r="I122" s="249"/>
      <c r="J122" s="249"/>
      <c r="K122" s="249"/>
      <c r="L122" s="249">
        <f>G122+H122+I122-J122+K122</f>
        <v>0</v>
      </c>
      <c r="M122" s="249"/>
      <c r="N122" s="249">
        <f>L122-M122</f>
        <v>0</v>
      </c>
      <c r="O122" s="249"/>
      <c r="P122" s="249"/>
      <c r="Q122" s="249">
        <f>N122-O122-P122</f>
        <v>0</v>
      </c>
    </row>
    <row r="123" spans="1:24" hidden="1">
      <c r="A123" s="250"/>
      <c r="B123" s="247"/>
      <c r="C123" s="247"/>
      <c r="D123" s="248"/>
      <c r="E123" s="248"/>
      <c r="F123" s="248"/>
      <c r="G123" s="249"/>
      <c r="H123" s="249"/>
      <c r="I123" s="249"/>
      <c r="J123" s="249"/>
      <c r="K123" s="249"/>
      <c r="L123" s="249"/>
      <c r="M123" s="249"/>
      <c r="N123" s="249"/>
      <c r="O123" s="249"/>
      <c r="P123" s="249"/>
      <c r="Q123" s="249"/>
    </row>
    <row r="124" spans="1:24" s="50" customFormat="1" ht="13.5" hidden="1" thickBot="1">
      <c r="A124" s="253" t="str">
        <f>"TOTAL "&amp;A115</f>
        <v>TOTAL DIAMOND VALLEY RODENT CONTROL DISTRICT</v>
      </c>
      <c r="B124" s="515">
        <f>B117</f>
        <v>0</v>
      </c>
      <c r="C124" s="254">
        <f>C117</f>
        <v>0</v>
      </c>
      <c r="D124" s="255">
        <f t="shared" ref="D124:Q124" si="32">SUM(D117:D119,D121:D122)</f>
        <v>0</v>
      </c>
      <c r="E124" s="255"/>
      <c r="F124" s="255">
        <f t="shared" si="32"/>
        <v>1206030.81</v>
      </c>
      <c r="G124" s="256">
        <f t="shared" si="32"/>
        <v>11.45</v>
      </c>
      <c r="H124" s="256">
        <f t="shared" si="32"/>
        <v>470.96</v>
      </c>
      <c r="I124" s="256">
        <f t="shared" si="32"/>
        <v>0</v>
      </c>
      <c r="J124" s="256">
        <f t="shared" si="32"/>
        <v>19.13</v>
      </c>
      <c r="K124" s="256">
        <f t="shared" si="32"/>
        <v>0</v>
      </c>
      <c r="L124" s="256">
        <f t="shared" si="32"/>
        <v>463.28</v>
      </c>
      <c r="M124" s="256">
        <f t="shared" si="32"/>
        <v>3.86</v>
      </c>
      <c r="N124" s="256">
        <f t="shared" si="32"/>
        <v>459.41999999999996</v>
      </c>
      <c r="O124" s="256">
        <f t="shared" si="32"/>
        <v>0</v>
      </c>
      <c r="P124" s="256">
        <f t="shared" si="32"/>
        <v>0</v>
      </c>
      <c r="Q124" s="256">
        <f t="shared" si="32"/>
        <v>459.41999999999996</v>
      </c>
      <c r="W124" s="49"/>
      <c r="X124" s="49"/>
    </row>
    <row r="125" spans="1:24" hidden="1">
      <c r="A125" s="257" t="s">
        <v>355</v>
      </c>
      <c r="B125" s="247"/>
      <c r="C125" s="247"/>
      <c r="D125" s="248"/>
      <c r="E125" s="248"/>
      <c r="F125" s="258"/>
      <c r="G125" s="249"/>
      <c r="H125" s="249"/>
      <c r="I125" s="249"/>
      <c r="J125" s="249"/>
      <c r="K125" s="249"/>
      <c r="L125" s="249"/>
      <c r="M125" s="249"/>
      <c r="N125" s="249"/>
      <c r="O125" s="249"/>
      <c r="P125" s="249"/>
      <c r="Q125" s="249"/>
      <c r="W125" s="50"/>
      <c r="X125" s="50"/>
    </row>
    <row r="126" spans="1:24" hidden="1">
      <c r="A126" s="246" t="s">
        <v>109</v>
      </c>
      <c r="B126" s="247"/>
      <c r="C126" s="247"/>
      <c r="D126" s="248"/>
      <c r="E126" s="248"/>
      <c r="F126" s="248"/>
      <c r="G126" s="249"/>
      <c r="H126" s="249"/>
      <c r="I126" s="249"/>
      <c r="J126" s="249"/>
      <c r="K126" s="249"/>
      <c r="L126" s="249"/>
      <c r="M126" s="249"/>
      <c r="N126" s="249"/>
      <c r="O126" s="249"/>
      <c r="P126" s="249"/>
      <c r="Q126" s="249"/>
    </row>
    <row r="127" spans="1:24" hidden="1">
      <c r="A127" s="250"/>
      <c r="B127" s="247"/>
      <c r="C127" s="247"/>
      <c r="D127" s="248"/>
      <c r="E127" s="248"/>
      <c r="F127" s="248"/>
      <c r="G127" s="249"/>
      <c r="H127" s="249"/>
      <c r="I127" s="249"/>
      <c r="J127" s="249"/>
      <c r="K127" s="249"/>
      <c r="L127" s="249"/>
      <c r="M127" s="249"/>
      <c r="N127" s="249"/>
      <c r="O127" s="249"/>
      <c r="P127" s="249"/>
      <c r="Q127" s="249"/>
    </row>
    <row r="128" spans="1:24" hidden="1">
      <c r="A128" s="251" t="s">
        <v>15</v>
      </c>
      <c r="B128" s="247"/>
      <c r="C128" s="247"/>
      <c r="D128" s="248"/>
      <c r="E128" s="248" t="e">
        <f>G128/B128*100</f>
        <v>#DIV/0!</v>
      </c>
      <c r="F128" s="248"/>
      <c r="G128" s="249"/>
      <c r="H128" s="249"/>
      <c r="I128" s="249"/>
      <c r="J128" s="249"/>
      <c r="K128" s="249"/>
      <c r="L128" s="249">
        <f>G128+H128+I128-J128+K128</f>
        <v>0</v>
      </c>
      <c r="M128" s="249"/>
      <c r="N128" s="249">
        <f>L128-M128</f>
        <v>0</v>
      </c>
      <c r="O128" s="249"/>
      <c r="P128" s="249"/>
      <c r="Q128" s="249">
        <f>N128-O128-P128</f>
        <v>0</v>
      </c>
    </row>
    <row r="129" spans="1:24" hidden="1">
      <c r="A129" s="250" t="s">
        <v>16</v>
      </c>
      <c r="B129" s="247">
        <v>7.8100000000000003E-2</v>
      </c>
      <c r="C129" s="247">
        <f>C$128</f>
        <v>0</v>
      </c>
      <c r="D129" s="248"/>
      <c r="E129" s="248"/>
      <c r="F129" s="248"/>
      <c r="G129" s="249">
        <f>F129*(B129-C129)/100</f>
        <v>0</v>
      </c>
      <c r="H129" s="249"/>
      <c r="I129" s="249">
        <f>F129*C129/100</f>
        <v>0</v>
      </c>
      <c r="J129" s="249"/>
      <c r="K129" s="249"/>
      <c r="L129" s="249">
        <f>G129+H129+I129-J129+K129</f>
        <v>0</v>
      </c>
      <c r="M129" s="249"/>
      <c r="N129" s="249">
        <f>L129-M129</f>
        <v>0</v>
      </c>
      <c r="O129" s="249"/>
      <c r="P129" s="249"/>
      <c r="Q129" s="249">
        <f>N129-O129-P129</f>
        <v>0</v>
      </c>
    </row>
    <row r="130" spans="1:24" hidden="1">
      <c r="A130" s="250" t="s">
        <v>17</v>
      </c>
      <c r="B130" s="247">
        <f t="shared" ref="B130:C133" si="33">B$128</f>
        <v>0</v>
      </c>
      <c r="C130" s="247">
        <f t="shared" si="33"/>
        <v>0</v>
      </c>
      <c r="D130" s="248"/>
      <c r="E130" s="248"/>
      <c r="F130" s="248"/>
      <c r="G130" s="249"/>
      <c r="H130" s="249">
        <f>F130*(B130-C130)/100</f>
        <v>0</v>
      </c>
      <c r="I130" s="249">
        <f>F130*C130/100</f>
        <v>0</v>
      </c>
      <c r="J130" s="249"/>
      <c r="K130" s="249"/>
      <c r="L130" s="249">
        <f>G130+H130+I130-J130+K130</f>
        <v>0</v>
      </c>
      <c r="M130" s="249"/>
      <c r="N130" s="249">
        <f>L130-M130</f>
        <v>0</v>
      </c>
      <c r="O130" s="249"/>
      <c r="P130" s="249"/>
      <c r="Q130" s="249">
        <f>N130-O130-P130</f>
        <v>0</v>
      </c>
    </row>
    <row r="131" spans="1:24" hidden="1">
      <c r="A131" s="250" t="s">
        <v>18</v>
      </c>
      <c r="B131" s="247"/>
      <c r="C131" s="247"/>
      <c r="D131" s="248"/>
      <c r="E131" s="248"/>
      <c r="F131" s="248"/>
      <c r="G131" s="249"/>
      <c r="H131" s="249"/>
      <c r="I131" s="249"/>
      <c r="J131" s="249"/>
      <c r="K131" s="249"/>
      <c r="L131" s="249"/>
      <c r="M131" s="249"/>
      <c r="N131" s="249"/>
      <c r="O131" s="249"/>
      <c r="P131" s="249"/>
      <c r="Q131" s="249"/>
    </row>
    <row r="132" spans="1:24" hidden="1">
      <c r="A132" s="252" t="s">
        <v>19</v>
      </c>
      <c r="B132" s="247">
        <f t="shared" si="33"/>
        <v>0</v>
      </c>
      <c r="C132" s="247">
        <f t="shared" si="33"/>
        <v>0</v>
      </c>
      <c r="D132" s="248"/>
      <c r="E132" s="248"/>
      <c r="F132" s="248">
        <v>1206012.58</v>
      </c>
      <c r="G132" s="249">
        <v>22.36</v>
      </c>
      <c r="H132" s="249">
        <v>919.56</v>
      </c>
      <c r="I132" s="249">
        <v>0</v>
      </c>
      <c r="J132" s="249">
        <v>37.36</v>
      </c>
      <c r="K132" s="249">
        <v>0</v>
      </c>
      <c r="L132" s="249">
        <f>G132+H132+I132-J132+K132</f>
        <v>904.56</v>
      </c>
      <c r="M132" s="249">
        <v>7.54</v>
      </c>
      <c r="N132" s="249">
        <f>L132-M132</f>
        <v>897.02</v>
      </c>
      <c r="O132" s="249">
        <v>0</v>
      </c>
      <c r="P132" s="249">
        <v>0</v>
      </c>
      <c r="Q132" s="53">
        <f>N132-O132-P132</f>
        <v>897.02</v>
      </c>
      <c r="S132" s="53"/>
    </row>
    <row r="133" spans="1:24" hidden="1">
      <c r="A133" s="252" t="s">
        <v>20</v>
      </c>
      <c r="B133" s="247">
        <v>7.8100000000000003E-2</v>
      </c>
      <c r="C133" s="247">
        <f t="shared" si="33"/>
        <v>0</v>
      </c>
      <c r="D133" s="248"/>
      <c r="E133" s="248"/>
      <c r="F133" s="248"/>
      <c r="G133" s="249"/>
      <c r="H133" s="249"/>
      <c r="I133" s="249"/>
      <c r="J133" s="249"/>
      <c r="K133" s="249"/>
      <c r="L133" s="249">
        <f>G133+H133+I133-J133+K133</f>
        <v>0</v>
      </c>
      <c r="M133" s="249"/>
      <c r="N133" s="249">
        <f>L133-M133</f>
        <v>0</v>
      </c>
      <c r="O133" s="249"/>
      <c r="P133" s="249"/>
      <c r="Q133" s="249">
        <f>N133-O133-P133</f>
        <v>0</v>
      </c>
    </row>
    <row r="134" spans="1:24" hidden="1">
      <c r="A134" s="250"/>
      <c r="B134" s="247"/>
      <c r="C134" s="247"/>
      <c r="D134" s="248"/>
      <c r="E134" s="248"/>
      <c r="F134" s="248"/>
      <c r="G134" s="249"/>
      <c r="H134" s="249"/>
      <c r="I134" s="249"/>
      <c r="J134" s="249"/>
      <c r="K134" s="249"/>
      <c r="L134" s="249"/>
      <c r="M134" s="249"/>
      <c r="N134" s="249"/>
      <c r="O134" s="249"/>
      <c r="P134" s="249"/>
      <c r="Q134" s="249"/>
    </row>
    <row r="135" spans="1:24" s="50" customFormat="1" ht="13.5" hidden="1" thickBot="1">
      <c r="A135" s="253" t="str">
        <f>"TOTAL "&amp;A126</f>
        <v>TOTAL DIAMOND VALLEY WEED CONTROL DISTRICT</v>
      </c>
      <c r="B135" s="515">
        <f>B128</f>
        <v>0</v>
      </c>
      <c r="C135" s="254">
        <f>C128</f>
        <v>0</v>
      </c>
      <c r="D135" s="255">
        <f t="shared" ref="D135:Q135" si="34">SUM(D128:D130,D132:D133)</f>
        <v>0</v>
      </c>
      <c r="E135" s="255"/>
      <c r="F135" s="255">
        <f t="shared" si="34"/>
        <v>1206012.58</v>
      </c>
      <c r="G135" s="256">
        <f t="shared" si="34"/>
        <v>22.36</v>
      </c>
      <c r="H135" s="256">
        <f t="shared" si="34"/>
        <v>919.56</v>
      </c>
      <c r="I135" s="256">
        <f t="shared" si="34"/>
        <v>0</v>
      </c>
      <c r="J135" s="256">
        <f t="shared" si="34"/>
        <v>37.36</v>
      </c>
      <c r="K135" s="256">
        <f t="shared" si="34"/>
        <v>0</v>
      </c>
      <c r="L135" s="256">
        <f t="shared" si="34"/>
        <v>904.56</v>
      </c>
      <c r="M135" s="256">
        <f t="shared" si="34"/>
        <v>7.54</v>
      </c>
      <c r="N135" s="256">
        <f t="shared" si="34"/>
        <v>897.02</v>
      </c>
      <c r="O135" s="256">
        <f t="shared" si="34"/>
        <v>0</v>
      </c>
      <c r="P135" s="256">
        <f t="shared" si="34"/>
        <v>0</v>
      </c>
      <c r="Q135" s="256">
        <f t="shared" si="34"/>
        <v>897.02</v>
      </c>
      <c r="W135" s="49"/>
      <c r="X135" s="49"/>
    </row>
    <row r="136" spans="1:24" hidden="1">
      <c r="A136" s="257" t="s">
        <v>355</v>
      </c>
      <c r="B136" s="247"/>
      <c r="C136" s="247"/>
      <c r="D136" s="248"/>
      <c r="E136" s="248"/>
      <c r="F136" s="258"/>
      <c r="G136" s="249"/>
      <c r="H136" s="249"/>
      <c r="I136" s="249"/>
      <c r="J136" s="249"/>
      <c r="K136" s="249"/>
      <c r="L136" s="249"/>
      <c r="M136" s="249"/>
      <c r="N136" s="249"/>
      <c r="O136" s="249"/>
      <c r="P136" s="249"/>
      <c r="Q136" s="249"/>
      <c r="W136" s="50"/>
      <c r="X136" s="50"/>
    </row>
    <row r="137" spans="1:24">
      <c r="A137" s="54" t="s">
        <v>117</v>
      </c>
      <c r="B137" s="48"/>
      <c r="C137" s="48"/>
      <c r="D137" s="43"/>
      <c r="E137" s="173"/>
      <c r="F137" s="43"/>
      <c r="G137" s="64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1:24">
      <c r="A138" s="47"/>
      <c r="B138" s="48"/>
      <c r="C138" s="48"/>
      <c r="D138" s="43"/>
      <c r="E138" s="65">
        <v>153364600</v>
      </c>
      <c r="F138" s="4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</row>
    <row r="139" spans="1:24">
      <c r="A139" s="49" t="s">
        <v>15</v>
      </c>
      <c r="B139" s="48">
        <v>8.5000000000000006E-3</v>
      </c>
      <c r="C139" s="48">
        <v>0</v>
      </c>
      <c r="D139" s="43">
        <v>3843</v>
      </c>
      <c r="E139" s="173">
        <f>G139/B139*100</f>
        <v>115338352.94117646</v>
      </c>
      <c r="F139" s="43">
        <v>770508809</v>
      </c>
      <c r="G139" s="53">
        <v>9803.76</v>
      </c>
      <c r="H139" s="53">
        <v>85779.02</v>
      </c>
      <c r="I139" s="53">
        <v>0</v>
      </c>
      <c r="J139" s="53">
        <v>30090.77</v>
      </c>
      <c r="K139" s="53">
        <v>0.26</v>
      </c>
      <c r="L139" s="53">
        <f>G139+H139+I139-J139+K139</f>
        <v>65492.27</v>
      </c>
      <c r="M139" s="53">
        <v>1451.45</v>
      </c>
      <c r="N139" s="53">
        <f>L139-M139</f>
        <v>64040.82</v>
      </c>
      <c r="O139" s="53">
        <v>0</v>
      </c>
      <c r="P139" s="53">
        <v>4846.55</v>
      </c>
      <c r="Q139" s="53">
        <f>N139-O139-P139</f>
        <v>59194.27</v>
      </c>
    </row>
    <row r="140" spans="1:24">
      <c r="A140" s="47" t="s">
        <v>16</v>
      </c>
      <c r="B140" s="48">
        <f>B$139</f>
        <v>8.5000000000000006E-3</v>
      </c>
      <c r="C140" s="48">
        <f>C$139</f>
        <v>0</v>
      </c>
      <c r="D140" s="43"/>
      <c r="E140" s="173"/>
      <c r="F140" s="65">
        <f>IF(E138&gt;E139,E138-E139,0)</f>
        <v>38026247.058823541</v>
      </c>
      <c r="G140" s="53">
        <f>F140*(B140-C140)/100</f>
        <v>3232.2310000000011</v>
      </c>
      <c r="H140" s="53"/>
      <c r="I140" s="53">
        <f>F140*C140/100</f>
        <v>0</v>
      </c>
      <c r="J140" s="53"/>
      <c r="K140" s="53"/>
      <c r="L140" s="53">
        <f>G140+H140+I140-J140+K140</f>
        <v>3232.2310000000011</v>
      </c>
      <c r="M140" s="53"/>
      <c r="N140" s="53">
        <f>L140-M140</f>
        <v>3232.2310000000011</v>
      </c>
      <c r="O140" s="53"/>
      <c r="P140" s="53"/>
      <c r="Q140" s="53">
        <f>N140-O140-P140</f>
        <v>3232.2310000000011</v>
      </c>
    </row>
    <row r="141" spans="1:24">
      <c r="A141" s="47" t="s">
        <v>17</v>
      </c>
      <c r="B141" s="48">
        <f t="shared" ref="B141:C144" si="35">B$139</f>
        <v>8.5000000000000006E-3</v>
      </c>
      <c r="C141" s="48">
        <f t="shared" si="35"/>
        <v>0</v>
      </c>
      <c r="D141" s="43"/>
      <c r="E141" s="173"/>
      <c r="F141" s="66">
        <v>28584493</v>
      </c>
      <c r="G141" s="53"/>
      <c r="H141" s="53">
        <f>F141*(B141-C141)/100</f>
        <v>2429.6819050000004</v>
      </c>
      <c r="I141" s="53">
        <f>F141*C141/100</f>
        <v>0</v>
      </c>
      <c r="J141" s="53">
        <v>0</v>
      </c>
      <c r="K141" s="53">
        <v>0</v>
      </c>
      <c r="L141" s="53">
        <f>G141+H141+I141-J141+K141</f>
        <v>2429.6819050000004</v>
      </c>
      <c r="M141" s="53">
        <v>0</v>
      </c>
      <c r="N141" s="53">
        <f>L141-M141</f>
        <v>2429.6819050000004</v>
      </c>
      <c r="O141" s="53">
        <v>0</v>
      </c>
      <c r="P141" s="53">
        <v>0</v>
      </c>
      <c r="Q141" s="53">
        <f>N141-O141-P141</f>
        <v>2429.6819050000004</v>
      </c>
    </row>
    <row r="142" spans="1:24">
      <c r="A142" s="47" t="s">
        <v>18</v>
      </c>
      <c r="B142" s="48"/>
      <c r="C142" s="48"/>
      <c r="D142" s="43"/>
      <c r="E142" s="173"/>
      <c r="F142" s="43"/>
      <c r="G142" s="53"/>
      <c r="H142" s="53"/>
      <c r="I142" s="53"/>
      <c r="J142" s="53"/>
      <c r="K142" s="53">
        <v>0</v>
      </c>
      <c r="L142" s="53"/>
      <c r="M142" s="53"/>
      <c r="N142" s="53"/>
      <c r="O142" s="53"/>
      <c r="P142" s="53"/>
      <c r="Q142" s="53"/>
    </row>
    <row r="143" spans="1:24">
      <c r="A143" s="67" t="s">
        <v>19</v>
      </c>
      <c r="B143" s="48">
        <f t="shared" si="35"/>
        <v>8.5000000000000006E-3</v>
      </c>
      <c r="C143" s="48">
        <f t="shared" si="35"/>
        <v>0</v>
      </c>
      <c r="D143" s="43"/>
      <c r="E143" s="173"/>
      <c r="F143" s="43">
        <v>48710569.530000001</v>
      </c>
      <c r="G143" s="53">
        <v>873.64</v>
      </c>
      <c r="H143" s="53">
        <v>3266.76</v>
      </c>
      <c r="I143" s="53">
        <v>0</v>
      </c>
      <c r="J143" s="53">
        <v>106.29</v>
      </c>
      <c r="K143" s="53">
        <v>0</v>
      </c>
      <c r="L143" s="53">
        <f>G143+H143+I143-J143+K143</f>
        <v>4034.1100000000006</v>
      </c>
      <c r="M143" s="53">
        <v>87.67</v>
      </c>
      <c r="N143" s="53">
        <f>L143-M143</f>
        <v>3946.4400000000005</v>
      </c>
      <c r="O143" s="53">
        <v>0</v>
      </c>
      <c r="P143" s="53">
        <v>0</v>
      </c>
      <c r="Q143" s="53">
        <f>N143-O143-P143</f>
        <v>3946.4400000000005</v>
      </c>
      <c r="S143" s="53"/>
    </row>
    <row r="144" spans="1:24">
      <c r="A144" s="67" t="s">
        <v>20</v>
      </c>
      <c r="B144" s="48">
        <f t="shared" si="35"/>
        <v>8.5000000000000006E-3</v>
      </c>
      <c r="C144" s="48">
        <f t="shared" si="35"/>
        <v>0</v>
      </c>
      <c r="D144" s="43"/>
      <c r="E144" s="173"/>
      <c r="F144" s="43">
        <v>5317577.7</v>
      </c>
      <c r="G144" s="53">
        <v>430.09</v>
      </c>
      <c r="H144" s="53">
        <v>21.85</v>
      </c>
      <c r="I144" s="53">
        <v>0</v>
      </c>
      <c r="J144" s="53">
        <v>0</v>
      </c>
      <c r="K144" s="53">
        <v>0</v>
      </c>
      <c r="L144" s="53">
        <f>G144+H144+I144-J144+K144</f>
        <v>451.94</v>
      </c>
      <c r="M144" s="53">
        <v>0.03</v>
      </c>
      <c r="N144" s="53">
        <f>L144-M144</f>
        <v>451.91</v>
      </c>
      <c r="O144" s="53">
        <v>0</v>
      </c>
      <c r="P144" s="53"/>
      <c r="Q144" s="53">
        <f>N144-O144-P144</f>
        <v>451.91</v>
      </c>
    </row>
    <row r="145" spans="1:24">
      <c r="A145" s="47"/>
      <c r="B145" s="48"/>
      <c r="C145" s="48"/>
      <c r="D145" s="43"/>
      <c r="E145" s="173"/>
      <c r="F145" s="4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1:24" s="50" customFormat="1" ht="13.5" thickBot="1">
      <c r="A146" s="60" t="str">
        <f>"TOTAL "&amp;A137</f>
        <v>TOTAL EUREKA COUNTY TV DISTRICT</v>
      </c>
      <c r="B146" s="68">
        <f>B139</f>
        <v>8.5000000000000006E-3</v>
      </c>
      <c r="C146" s="68">
        <f>C139</f>
        <v>0</v>
      </c>
      <c r="D146" s="69">
        <f t="shared" ref="D146:Q146" si="36">SUM(D139:D141,D143:D144)</f>
        <v>3843</v>
      </c>
      <c r="E146" s="204"/>
      <c r="F146" s="69">
        <f t="shared" si="36"/>
        <v>891147696.2888236</v>
      </c>
      <c r="G146" s="70">
        <f t="shared" si="36"/>
        <v>14339.721000000001</v>
      </c>
      <c r="H146" s="70">
        <f t="shared" si="36"/>
        <v>91497.31190500001</v>
      </c>
      <c r="I146" s="70">
        <f t="shared" si="36"/>
        <v>0</v>
      </c>
      <c r="J146" s="70">
        <f t="shared" si="36"/>
        <v>30197.06</v>
      </c>
      <c r="K146" s="70">
        <f t="shared" si="36"/>
        <v>0.26</v>
      </c>
      <c r="L146" s="70">
        <f t="shared" si="36"/>
        <v>75640.232905000012</v>
      </c>
      <c r="M146" s="70">
        <f t="shared" si="36"/>
        <v>1539.15</v>
      </c>
      <c r="N146" s="70">
        <f t="shared" si="36"/>
        <v>74101.082905000017</v>
      </c>
      <c r="O146" s="70">
        <f t="shared" si="36"/>
        <v>0</v>
      </c>
      <c r="P146" s="70">
        <f t="shared" si="36"/>
        <v>4846.55</v>
      </c>
      <c r="Q146" s="70">
        <f t="shared" si="36"/>
        <v>69254.532905</v>
      </c>
      <c r="W146" s="49"/>
      <c r="X146" s="49"/>
    </row>
    <row r="147" spans="1:24">
      <c r="A147" s="150" t="s">
        <v>355</v>
      </c>
      <c r="B147" s="48"/>
      <c r="C147" s="48"/>
      <c r="D147" s="43"/>
      <c r="E147" s="173"/>
      <c r="F147" s="64">
        <v>889897235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W147" s="50"/>
      <c r="X147" s="50"/>
    </row>
    <row r="148" spans="1:24">
      <c r="A148" s="151" t="s">
        <v>30</v>
      </c>
      <c r="B148" s="51"/>
      <c r="C148" s="51"/>
      <c r="D148" s="52"/>
      <c r="E148" s="203"/>
      <c r="F148" s="152">
        <f>F146-F147</f>
        <v>1250461.2888236046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1:24">
      <c r="B149" s="84"/>
      <c r="C149" s="84"/>
      <c r="D149" s="84"/>
      <c r="E149" s="210"/>
      <c r="F149" s="84"/>
      <c r="G149" s="59"/>
      <c r="H149" s="53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1:24">
      <c r="A150" s="98" t="s">
        <v>104</v>
      </c>
      <c r="B150" s="84"/>
      <c r="C150" s="84"/>
      <c r="D150" s="84"/>
      <c r="E150" s="210"/>
      <c r="F150" s="84"/>
      <c r="G150" s="59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1:24">
      <c r="A151" s="83"/>
      <c r="B151" s="48"/>
      <c r="C151" s="48"/>
      <c r="D151" s="43"/>
      <c r="E151" s="173"/>
      <c r="F151" s="4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1:24">
      <c r="A152" s="47"/>
      <c r="B152" s="48"/>
      <c r="C152" s="48"/>
      <c r="D152" s="43"/>
      <c r="E152" s="173"/>
      <c r="F152" s="4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1:24">
      <c r="A153" s="47"/>
      <c r="B153" s="48"/>
      <c r="C153" s="48"/>
      <c r="D153" s="43"/>
      <c r="E153" s="173"/>
      <c r="F153" s="4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1:24">
      <c r="A154" s="47"/>
      <c r="B154" s="48"/>
      <c r="C154" s="48"/>
      <c r="D154" s="43"/>
      <c r="E154" s="173"/>
      <c r="F154" s="4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1:24">
      <c r="A155" s="67"/>
      <c r="B155" s="48"/>
      <c r="C155" s="48"/>
      <c r="D155" s="43"/>
      <c r="E155" s="173"/>
      <c r="F155" s="4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1:24">
      <c r="A156" s="67"/>
      <c r="B156" s="48"/>
      <c r="C156" s="48"/>
      <c r="D156" s="43"/>
      <c r="E156" s="173"/>
      <c r="F156" s="4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1:24">
      <c r="A157" s="47"/>
      <c r="B157" s="48"/>
      <c r="C157" s="48"/>
      <c r="D157" s="43"/>
      <c r="E157" s="173"/>
      <c r="F157" s="4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1:24" s="50" customFormat="1">
      <c r="A158" s="57"/>
      <c r="B158" s="51"/>
      <c r="C158" s="51"/>
      <c r="D158" s="52"/>
      <c r="E158" s="203"/>
      <c r="F158" s="52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W158" s="49"/>
      <c r="X158" s="49"/>
    </row>
    <row r="159" spans="1:24">
      <c r="A159" s="83"/>
      <c r="B159" s="84"/>
      <c r="C159" s="84"/>
      <c r="D159" s="84"/>
      <c r="E159" s="210"/>
      <c r="F159" s="84"/>
      <c r="G159" s="59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W159" s="50"/>
      <c r="X159" s="50"/>
    </row>
    <row r="160" spans="1:24">
      <c r="A160" s="83"/>
      <c r="B160" s="84"/>
      <c r="C160" s="84"/>
      <c r="D160" s="84"/>
      <c r="E160" s="210"/>
      <c r="F160" s="84"/>
      <c r="G160" s="59"/>
      <c r="H160" s="53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1:24">
      <c r="A161" s="54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1:24">
      <c r="A162" s="50"/>
      <c r="B162" s="50"/>
      <c r="C162" s="50"/>
      <c r="D162" s="50"/>
      <c r="E162" s="211"/>
      <c r="F162" s="50"/>
      <c r="G162" s="59"/>
      <c r="H162" s="53"/>
      <c r="I162" s="53"/>
      <c r="J162" s="53"/>
      <c r="K162" s="53"/>
      <c r="L162" s="53"/>
      <c r="M162" s="53"/>
      <c r="N162" s="53"/>
      <c r="O162" s="53"/>
      <c r="P162" s="53"/>
      <c r="Q162" s="53"/>
    </row>
    <row r="163" spans="1:24">
      <c r="B163" s="48"/>
      <c r="C163" s="48"/>
      <c r="D163" s="43"/>
      <c r="E163" s="173"/>
      <c r="F163" s="4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</row>
    <row r="164" spans="1:24">
      <c r="A164" s="47"/>
      <c r="B164" s="48"/>
      <c r="C164" s="48"/>
      <c r="D164" s="43"/>
      <c r="E164" s="173"/>
      <c r="F164" s="4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</row>
    <row r="165" spans="1:24">
      <c r="A165" s="47"/>
      <c r="B165" s="48"/>
      <c r="C165" s="48"/>
      <c r="D165" s="43"/>
      <c r="E165" s="173"/>
      <c r="F165" s="4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</row>
    <row r="166" spans="1:24">
      <c r="A166" s="47"/>
      <c r="B166" s="48"/>
      <c r="C166" s="48"/>
      <c r="D166" s="43"/>
      <c r="E166" s="173"/>
      <c r="F166" s="4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</row>
    <row r="167" spans="1:24">
      <c r="A167" s="67"/>
      <c r="B167" s="48"/>
      <c r="C167" s="48"/>
      <c r="D167" s="43"/>
      <c r="E167" s="173"/>
      <c r="F167" s="4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</row>
    <row r="168" spans="1:24">
      <c r="A168" s="47"/>
      <c r="B168" s="48"/>
      <c r="C168" s="48"/>
      <c r="D168" s="43"/>
      <c r="E168" s="173"/>
      <c r="F168" s="4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</row>
    <row r="169" spans="1:24">
      <c r="A169" s="47"/>
      <c r="B169" s="48"/>
      <c r="C169" s="48"/>
      <c r="D169" s="43"/>
      <c r="E169" s="173"/>
      <c r="F169" s="4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1:24" s="50" customFormat="1">
      <c r="A170" s="57"/>
      <c r="B170" s="51"/>
      <c r="C170" s="51"/>
      <c r="D170" s="52"/>
      <c r="E170" s="203"/>
      <c r="F170" s="52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W170" s="49"/>
      <c r="X170" s="49"/>
    </row>
    <row r="171" spans="1:24"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W171" s="50"/>
      <c r="X171" s="50"/>
    </row>
    <row r="172" spans="1:24"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</row>
    <row r="173" spans="1:24">
      <c r="A173" s="54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</row>
    <row r="174" spans="1:24">
      <c r="A174" s="83"/>
      <c r="B174" s="84"/>
      <c r="C174" s="84"/>
      <c r="D174" s="84"/>
      <c r="E174" s="210"/>
      <c r="F174" s="84"/>
      <c r="G174" s="59"/>
      <c r="H174" s="53"/>
      <c r="I174" s="53"/>
      <c r="J174" s="53"/>
      <c r="K174" s="53"/>
      <c r="L174" s="53"/>
      <c r="M174" s="53"/>
      <c r="N174" s="53"/>
      <c r="O174" s="53"/>
      <c r="P174" s="53"/>
      <c r="Q174" s="53"/>
    </row>
    <row r="175" spans="1:24">
      <c r="B175" s="48"/>
      <c r="C175" s="48"/>
      <c r="D175" s="43"/>
      <c r="E175" s="173"/>
      <c r="F175" s="4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</row>
    <row r="176" spans="1:24">
      <c r="A176" s="47"/>
      <c r="B176" s="48"/>
      <c r="C176" s="48"/>
      <c r="D176" s="43"/>
      <c r="E176" s="173"/>
      <c r="F176" s="4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</row>
    <row r="177" spans="1:24">
      <c r="A177" s="47"/>
      <c r="B177" s="48"/>
      <c r="C177" s="48"/>
      <c r="D177" s="43"/>
      <c r="E177" s="173"/>
      <c r="F177" s="4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</row>
    <row r="178" spans="1:24">
      <c r="A178" s="47"/>
      <c r="B178" s="48"/>
      <c r="C178" s="48"/>
      <c r="D178" s="43"/>
      <c r="E178" s="173"/>
      <c r="F178" s="4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</row>
    <row r="179" spans="1:24">
      <c r="A179" s="67"/>
      <c r="B179" s="48"/>
      <c r="C179" s="48"/>
      <c r="D179" s="43"/>
      <c r="E179" s="173"/>
      <c r="F179" s="4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1:24">
      <c r="A180" s="67"/>
      <c r="B180" s="48"/>
      <c r="C180" s="48"/>
      <c r="D180" s="43"/>
      <c r="E180" s="173"/>
      <c r="F180" s="4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</row>
    <row r="181" spans="1:24">
      <c r="A181" s="47"/>
      <c r="B181" s="48"/>
      <c r="C181" s="48"/>
      <c r="D181" s="43"/>
      <c r="E181" s="173"/>
      <c r="F181" s="4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</row>
    <row r="182" spans="1:24" s="50" customFormat="1">
      <c r="A182" s="57"/>
      <c r="B182" s="51"/>
      <c r="C182" s="51"/>
      <c r="D182" s="52"/>
      <c r="E182" s="203"/>
      <c r="F182" s="52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W182" s="49"/>
      <c r="X182" s="49"/>
    </row>
    <row r="183" spans="1:24"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W183" s="50"/>
      <c r="X183" s="50"/>
    </row>
    <row r="184" spans="1:24"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</row>
    <row r="185" spans="1:24">
      <c r="A185" s="54"/>
      <c r="B185" s="50"/>
      <c r="C185" s="50"/>
      <c r="D185" s="50"/>
      <c r="E185" s="211"/>
      <c r="F185" s="50"/>
      <c r="G185" s="59"/>
      <c r="H185" s="53"/>
      <c r="I185" s="53"/>
      <c r="J185" s="53"/>
      <c r="K185" s="53"/>
      <c r="L185" s="53"/>
      <c r="M185" s="53"/>
      <c r="N185" s="53"/>
      <c r="O185" s="53"/>
      <c r="P185" s="53"/>
      <c r="Q185" s="53"/>
    </row>
    <row r="186" spans="1:24">
      <c r="A186" s="50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</row>
    <row r="187" spans="1:24">
      <c r="B187" s="48"/>
      <c r="C187" s="48"/>
      <c r="D187" s="43"/>
      <c r="E187" s="173"/>
      <c r="F187" s="4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</row>
    <row r="188" spans="1:24">
      <c r="A188" s="47"/>
      <c r="B188" s="48"/>
      <c r="C188" s="48"/>
      <c r="D188" s="43"/>
      <c r="E188" s="173"/>
      <c r="F188" s="4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24">
      <c r="A189" s="47"/>
      <c r="B189" s="48"/>
      <c r="C189" s="48"/>
      <c r="D189" s="43"/>
      <c r="E189" s="173"/>
      <c r="F189" s="4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</row>
    <row r="190" spans="1:24">
      <c r="A190" s="47"/>
      <c r="B190" s="48"/>
      <c r="C190" s="48"/>
      <c r="D190" s="43"/>
      <c r="E190" s="173"/>
      <c r="F190" s="4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1:24">
      <c r="A191" s="67"/>
      <c r="B191" s="48"/>
      <c r="C191" s="48"/>
      <c r="D191" s="43"/>
      <c r="E191" s="173"/>
      <c r="F191" s="4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</row>
    <row r="192" spans="1:24">
      <c r="A192" s="47"/>
      <c r="B192" s="48"/>
      <c r="C192" s="48"/>
      <c r="D192" s="43"/>
      <c r="E192" s="173"/>
      <c r="F192" s="4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</row>
    <row r="193" spans="1:24">
      <c r="A193" s="47"/>
      <c r="B193" s="48"/>
      <c r="C193" s="48"/>
      <c r="D193" s="43"/>
      <c r="E193" s="173"/>
      <c r="F193" s="4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</row>
    <row r="194" spans="1:24" s="50" customFormat="1">
      <c r="A194" s="57"/>
      <c r="B194" s="51"/>
      <c r="C194" s="51"/>
      <c r="D194" s="52"/>
      <c r="E194" s="203"/>
      <c r="F194" s="52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W194" s="49"/>
      <c r="X194" s="49"/>
    </row>
    <row r="195" spans="1:24">
      <c r="W195" s="50"/>
      <c r="X195" s="50"/>
    </row>
    <row r="197" spans="1:24">
      <c r="A197" s="83"/>
      <c r="B197" s="84"/>
      <c r="C197" s="84"/>
      <c r="D197" s="84"/>
      <c r="E197" s="210"/>
      <c r="F197" s="84"/>
      <c r="G197" s="84"/>
    </row>
    <row r="199" spans="1:24">
      <c r="A199" s="50"/>
      <c r="B199" s="50"/>
      <c r="C199" s="50"/>
      <c r="D199" s="50"/>
      <c r="E199" s="211"/>
      <c r="F199" s="50"/>
      <c r="G199" s="50"/>
    </row>
    <row r="205" spans="1:24">
      <c r="A205" s="83"/>
      <c r="B205" s="85"/>
      <c r="C205" s="85"/>
      <c r="D205" s="85"/>
      <c r="E205" s="212"/>
      <c r="F205" s="85"/>
      <c r="G205" s="85"/>
    </row>
    <row r="208" spans="1:24">
      <c r="A208" s="50"/>
      <c r="B208" s="50"/>
      <c r="C208" s="50"/>
      <c r="D208" s="50"/>
      <c r="E208" s="211"/>
      <c r="F208" s="50"/>
      <c r="G208" s="50"/>
    </row>
    <row r="209" spans="1:7">
      <c r="A209" s="50"/>
    </row>
    <row r="210" spans="1:7">
      <c r="A210" s="50"/>
      <c r="B210" s="50"/>
      <c r="C210" s="50"/>
      <c r="D210" s="50"/>
      <c r="E210" s="211"/>
      <c r="F210" s="50"/>
      <c r="G210" s="50"/>
    </row>
    <row r="216" spans="1:7">
      <c r="A216" s="50"/>
      <c r="B216" s="84"/>
      <c r="C216" s="84"/>
      <c r="D216" s="84"/>
      <c r="E216" s="210"/>
      <c r="F216" s="84"/>
      <c r="G216" s="84"/>
    </row>
    <row r="218" spans="1:7">
      <c r="A218" s="50"/>
      <c r="B218" s="50"/>
      <c r="C218" s="50"/>
      <c r="D218" s="50"/>
      <c r="E218" s="211"/>
      <c r="F218" s="50"/>
      <c r="G218" s="50"/>
    </row>
    <row r="223" spans="1:7">
      <c r="A223" s="83"/>
      <c r="B223" s="84"/>
      <c r="C223" s="84"/>
      <c r="D223" s="84"/>
      <c r="E223" s="210"/>
      <c r="F223" s="84"/>
      <c r="G223" s="84"/>
    </row>
    <row r="225" spans="1:7">
      <c r="A225" s="50"/>
      <c r="B225" s="50"/>
      <c r="C225" s="50"/>
      <c r="D225" s="50"/>
      <c r="E225" s="211"/>
      <c r="F225" s="50"/>
      <c r="G225" s="50"/>
    </row>
    <row r="230" spans="1:7">
      <c r="A230" s="83"/>
      <c r="B230" s="84"/>
      <c r="C230" s="84"/>
      <c r="D230" s="84"/>
      <c r="E230" s="210"/>
      <c r="F230" s="84"/>
      <c r="G230" s="84"/>
    </row>
    <row r="232" spans="1:7">
      <c r="A232" s="50"/>
      <c r="B232" s="50"/>
      <c r="C232" s="50"/>
      <c r="D232" s="50"/>
      <c r="E232" s="211"/>
      <c r="F232" s="50"/>
      <c r="G232" s="50"/>
    </row>
    <row r="237" spans="1:7">
      <c r="A237" s="83"/>
      <c r="B237" s="84"/>
      <c r="C237" s="84"/>
      <c r="D237" s="84"/>
      <c r="E237" s="210"/>
      <c r="F237" s="84"/>
      <c r="G237" s="84"/>
    </row>
    <row r="239" spans="1:7">
      <c r="A239" s="50"/>
      <c r="B239" s="50"/>
      <c r="C239" s="50"/>
      <c r="D239" s="50"/>
      <c r="E239" s="211"/>
      <c r="F239" s="50"/>
      <c r="G239" s="50"/>
    </row>
    <row r="245" spans="1:7">
      <c r="A245" s="83"/>
      <c r="B245" s="85"/>
      <c r="C245" s="85"/>
      <c r="D245" s="85"/>
      <c r="E245" s="212"/>
      <c r="F245" s="85"/>
      <c r="G245" s="85"/>
    </row>
    <row r="248" spans="1:7">
      <c r="A248" s="50"/>
      <c r="B248" s="50"/>
      <c r="C248" s="50"/>
      <c r="D248" s="50"/>
      <c r="E248" s="211"/>
      <c r="F248" s="50"/>
      <c r="G248" s="50"/>
    </row>
    <row r="249" spans="1:7">
      <c r="A249" s="50"/>
    </row>
    <row r="250" spans="1:7">
      <c r="A250" s="50"/>
      <c r="B250" s="50"/>
      <c r="C250" s="50"/>
      <c r="D250" s="50"/>
      <c r="E250" s="211"/>
      <c r="F250" s="50"/>
      <c r="G250" s="50"/>
    </row>
    <row r="256" spans="1:7">
      <c r="A256" s="50"/>
      <c r="B256" s="84"/>
      <c r="C256" s="84"/>
      <c r="D256" s="84"/>
      <c r="E256" s="210"/>
      <c r="F256" s="84"/>
      <c r="G256" s="84"/>
    </row>
    <row r="258" spans="1:7">
      <c r="A258" s="50"/>
      <c r="B258" s="50"/>
      <c r="C258" s="50"/>
      <c r="D258" s="50"/>
      <c r="E258" s="211"/>
      <c r="F258" s="50"/>
      <c r="G258" s="50"/>
    </row>
    <row r="263" spans="1:7">
      <c r="A263" s="83"/>
      <c r="B263" s="84"/>
      <c r="C263" s="84"/>
      <c r="D263" s="84"/>
      <c r="E263" s="210"/>
      <c r="F263" s="84"/>
      <c r="G263" s="84"/>
    </row>
    <row r="265" spans="1:7">
      <c r="A265" s="50"/>
      <c r="B265" s="50"/>
      <c r="C265" s="50"/>
      <c r="D265" s="50"/>
      <c r="E265" s="211"/>
      <c r="F265" s="50"/>
      <c r="G265" s="50"/>
    </row>
    <row r="270" spans="1:7">
      <c r="A270" s="83"/>
      <c r="B270" s="84"/>
      <c r="C270" s="84"/>
      <c r="D270" s="84"/>
      <c r="E270" s="210"/>
      <c r="F270" s="84"/>
      <c r="G270" s="84"/>
    </row>
    <row r="272" spans="1:7">
      <c r="A272" s="50"/>
      <c r="B272" s="50"/>
      <c r="C272" s="50"/>
      <c r="D272" s="50"/>
      <c r="E272" s="211"/>
      <c r="F272" s="50"/>
      <c r="G272" s="50"/>
    </row>
    <row r="277" spans="1:7">
      <c r="A277" s="83"/>
      <c r="B277" s="84"/>
      <c r="C277" s="84"/>
      <c r="D277" s="84"/>
      <c r="E277" s="210"/>
      <c r="F277" s="84"/>
      <c r="G277" s="84"/>
    </row>
    <row r="279" spans="1:7">
      <c r="A279" s="50"/>
      <c r="B279" s="50"/>
      <c r="C279" s="50"/>
      <c r="D279" s="50"/>
      <c r="E279" s="211"/>
      <c r="F279" s="50"/>
      <c r="G279" s="50"/>
    </row>
    <row r="285" spans="1:7">
      <c r="A285" s="83"/>
      <c r="B285" s="85"/>
      <c r="C285" s="85"/>
      <c r="D285" s="85"/>
      <c r="E285" s="212"/>
      <c r="F285" s="85"/>
      <c r="G285" s="85"/>
    </row>
    <row r="288" spans="1:7">
      <c r="A288" s="50"/>
      <c r="B288" s="50"/>
      <c r="C288" s="50"/>
      <c r="D288" s="50"/>
      <c r="E288" s="211"/>
      <c r="F288" s="50"/>
      <c r="G288" s="50"/>
    </row>
    <row r="289" spans="1:7">
      <c r="A289" s="50"/>
    </row>
    <row r="290" spans="1:7">
      <c r="A290" s="50"/>
      <c r="B290" s="50"/>
      <c r="C290" s="50"/>
      <c r="D290" s="50"/>
      <c r="E290" s="211"/>
      <c r="F290" s="50"/>
      <c r="G290" s="50"/>
    </row>
    <row r="296" spans="1:7">
      <c r="A296" s="50"/>
      <c r="B296" s="84"/>
      <c r="C296" s="84"/>
      <c r="D296" s="84"/>
      <c r="E296" s="210"/>
      <c r="F296" s="84"/>
      <c r="G296" s="84"/>
    </row>
    <row r="298" spans="1:7">
      <c r="A298" s="50"/>
      <c r="B298" s="50"/>
      <c r="C298" s="50"/>
      <c r="D298" s="50"/>
      <c r="E298" s="211"/>
      <c r="F298" s="50"/>
      <c r="G298" s="50"/>
    </row>
    <row r="303" spans="1:7">
      <c r="A303" s="83"/>
      <c r="B303" s="84"/>
      <c r="C303" s="84"/>
      <c r="D303" s="84"/>
      <c r="E303" s="210"/>
      <c r="F303" s="84"/>
      <c r="G303" s="84"/>
    </row>
    <row r="305" spans="1:7">
      <c r="A305" s="50"/>
      <c r="B305" s="50"/>
      <c r="C305" s="50"/>
      <c r="D305" s="50"/>
      <c r="E305" s="211"/>
      <c r="F305" s="50"/>
      <c r="G305" s="50"/>
    </row>
    <row r="310" spans="1:7">
      <c r="A310" s="83"/>
      <c r="B310" s="84"/>
      <c r="C310" s="84"/>
      <c r="D310" s="84"/>
      <c r="E310" s="210"/>
      <c r="F310" s="84"/>
      <c r="G310" s="84"/>
    </row>
    <row r="312" spans="1:7">
      <c r="A312" s="50"/>
      <c r="B312" s="50"/>
      <c r="C312" s="50"/>
      <c r="D312" s="50"/>
      <c r="E312" s="211"/>
      <c r="F312" s="50"/>
      <c r="G312" s="50"/>
    </row>
    <row r="317" spans="1:7">
      <c r="A317" s="83"/>
      <c r="B317" s="84"/>
      <c r="C317" s="84"/>
      <c r="D317" s="84"/>
      <c r="E317" s="210"/>
      <c r="F317" s="84"/>
      <c r="G317" s="84"/>
    </row>
    <row r="319" spans="1:7">
      <c r="A319" s="50"/>
      <c r="B319" s="50"/>
      <c r="C319" s="50"/>
      <c r="D319" s="50"/>
      <c r="E319" s="211"/>
      <c r="F319" s="50"/>
      <c r="G319" s="50"/>
    </row>
    <row r="325" spans="1:7">
      <c r="A325" s="83"/>
      <c r="B325" s="85"/>
      <c r="C325" s="85"/>
      <c r="D325" s="85"/>
      <c r="E325" s="212"/>
      <c r="F325" s="85"/>
      <c r="G325" s="85"/>
    </row>
    <row r="330" spans="1:7">
      <c r="A330" s="50"/>
    </row>
    <row r="331" spans="1:7">
      <c r="A331" s="50"/>
    </row>
    <row r="332" spans="1:7">
      <c r="A332" s="50"/>
    </row>
    <row r="333" spans="1:7">
      <c r="A333" s="50"/>
    </row>
  </sheetData>
  <customSheetViews>
    <customSheetView guid="{AE6F0488-1842-4C89-B05F-A836B633FB8F}" scale="75" showPageBreaks="1" hiddenColumns="1" showRuler="0">
      <pane xSplit="1" ySplit="3" topLeftCell="B21" activePane="bottomRight" state="frozen"/>
      <selection pane="bottomRight" activeCell="F28" sqref="F28"/>
      <rowBreaks count="3" manualBreakCount="3">
        <brk id="47" max="15" man="1"/>
        <brk id="92" max="15" man="1"/>
        <brk id="135" max="15" man="1"/>
      </rowBreaks>
      <pageMargins left="0.17" right="0.16" top="0.91" bottom="0.9" header="0.4" footer="0.35"/>
      <pageSetup paperSize="5" scale="70" firstPageNumber="37" orientation="landscape" useFirstPageNumber="1" r:id="rId1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7CE6F7F4-8D8F-4334-ACEE-5BD88E482B05}" scale="75" showPageBreaks="1" showRuler="0">
      <pane xSplit="1" ySplit="3" topLeftCell="B4" activePane="bottomRight" state="frozen"/>
      <selection pane="bottomRight" activeCell="P128" sqref="P128"/>
      <rowBreaks count="3" manualBreakCount="3">
        <brk id="46" max="15" man="1"/>
        <brk id="91" max="15" man="1"/>
        <brk id="134" max="15" man="1"/>
      </rowBreaks>
      <pageMargins left="0.17" right="0.16" top="0.91" bottom="0.9" header="0.4" footer="0.35"/>
      <pageSetup paperSize="5" scale="70" firstPageNumber="37" orientation="landscape" useFirstPageNumber="1" r:id="rId2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  <customSheetView guid="{FA63795C-EC4C-4AAB-B1D6-AA5370DAC04D}" scale="75" showRuler="0">
      <pane xSplit="1" ySplit="3" topLeftCell="B4" activePane="bottomRight" state="frozen"/>
      <selection pane="bottomRight" activeCell="P128" sqref="P128"/>
      <rowBreaks count="3" manualBreakCount="3">
        <brk id="46" max="15" man="1"/>
        <brk id="91" max="15" man="1"/>
        <brk id="134" max="15" man="1"/>
      </rowBreaks>
      <pageMargins left="0.17" right="0.16" top="0.91" bottom="0.9" header="0.4" footer="0.35"/>
      <pageSetup paperSize="5" scale="70" firstPageNumber="37" orientation="landscape" useFirstPageNumber="1" r:id="rId3"/>
      <headerFooter alignWithMargins="0">
        <oddHeader>&amp;C&amp;"Arial,Bold"&amp;F
Property Tax Abatement Summary
&amp;"Arial,Bold Italic"By Taxing Entity</oddHeader>
        <oddFooter>&amp;L&amp;6&amp;A&amp;C&amp;P&amp;R&amp;6&amp;D&amp;T</oddFooter>
      </headerFooter>
    </customSheetView>
  </customSheetViews>
  <phoneticPr fontId="5" type="noConversion"/>
  <pageMargins left="0.75" right="0.75" top="1" bottom="1" header="0.5" footer="0.5"/>
  <pageSetup paperSize="5" scale="57" fitToHeight="0" orientation="landscape" useFirstPageNumber="1" r:id="rId4"/>
  <headerFooter alignWithMargins="0">
    <oddHeader xml:space="preserve">&amp;CFY2026-27 Proforma Ad Valorem Revenue Projections
Property Tax Abatement Summary
By Taxing Entity
</oddHeader>
    <oddFooter>&amp;L&amp;A&amp;C&amp;P&amp;R&amp;D &amp;T</oddFooter>
  </headerFooter>
  <rowBreaks count="2" manualBreakCount="2">
    <brk id="56" max="16" man="1"/>
    <brk id="90" max="16" man="1"/>
  </rowBreaks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75F992EC020544925D6D37EDA7F695" ma:contentTypeVersion="6" ma:contentTypeDescription="Create a new document." ma:contentTypeScope="" ma:versionID="49fe3bcf3902fb25e00e1182bc188d4e">
  <xsd:schema xmlns:xsd="http://www.w3.org/2001/XMLSchema" xmlns:xs="http://www.w3.org/2001/XMLSchema" xmlns:p="http://schemas.microsoft.com/office/2006/metadata/properties" xmlns:ns3="e4566b1c-7783-4256-a76a-3b22d10ddbc0" targetNamespace="http://schemas.microsoft.com/office/2006/metadata/properties" ma:root="true" ma:fieldsID="bef9bd9ecf243117b49303f5bfbef4ec" ns3:_="">
    <xsd:import namespace="e4566b1c-7783-4256-a76a-3b22d10ddb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66b1c-7783-4256-a76a-3b22d10ddb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DD1F97-3B33-4126-8C20-ACDAF01BAE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B0986E-27F3-4849-8BE5-EDF9F33E9C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566b1c-7783-4256-a76a-3b22d10dd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22C266-6E18-4B69-9007-E5E3D693F070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e4566b1c-7783-4256-a76a-3b22d10ddbc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38</vt:i4>
      </vt:variant>
    </vt:vector>
  </HeadingPairs>
  <TitlesOfParts>
    <vt:vector size="61" baseType="lpstr">
      <vt:lpstr>Title</vt:lpstr>
      <vt:lpstr>Index</vt:lpstr>
      <vt:lpstr>Carson City</vt:lpstr>
      <vt:lpstr>Churchill </vt:lpstr>
      <vt:lpstr>Clark</vt:lpstr>
      <vt:lpstr>Douglas</vt:lpstr>
      <vt:lpstr>Elko</vt:lpstr>
      <vt:lpstr>Esmeralda</vt:lpstr>
      <vt:lpstr>Eureka</vt:lpstr>
      <vt:lpstr>Humboldt</vt:lpstr>
      <vt:lpstr>Lander</vt:lpstr>
      <vt:lpstr>Lincoln</vt:lpstr>
      <vt:lpstr>Lyon </vt:lpstr>
      <vt:lpstr>Mineral</vt:lpstr>
      <vt:lpstr>Nye </vt:lpstr>
      <vt:lpstr>Pershing</vt:lpstr>
      <vt:lpstr>Storey</vt:lpstr>
      <vt:lpstr>Washoe</vt:lpstr>
      <vt:lpstr>White Pine</vt:lpstr>
      <vt:lpstr>Statewide Summary</vt:lpstr>
      <vt:lpstr>State 17 Cents</vt:lpstr>
      <vt:lpstr>School Summary</vt:lpstr>
      <vt:lpstr>LEED Abatement Impact</vt:lpstr>
      <vt:lpstr>'Carson City'!Print_Area</vt:lpstr>
      <vt:lpstr>'Churchill '!Print_Area</vt:lpstr>
      <vt:lpstr>Clark!Print_Area</vt:lpstr>
      <vt:lpstr>Douglas!Print_Area</vt:lpstr>
      <vt:lpstr>Elko!Print_Area</vt:lpstr>
      <vt:lpstr>Esmeralda!Print_Area</vt:lpstr>
      <vt:lpstr>Eureka!Print_Area</vt:lpstr>
      <vt:lpstr>Humboldt!Print_Area</vt:lpstr>
      <vt:lpstr>Lander!Print_Area</vt:lpstr>
      <vt:lpstr>'LEED Abatement Impact'!Print_Area</vt:lpstr>
      <vt:lpstr>Lincoln!Print_Area</vt:lpstr>
      <vt:lpstr>'Lyon '!Print_Area</vt:lpstr>
      <vt:lpstr>Mineral!Print_Area</vt:lpstr>
      <vt:lpstr>'Nye '!Print_Area</vt:lpstr>
      <vt:lpstr>Pershing!Print_Area</vt:lpstr>
      <vt:lpstr>'School Summary'!Print_Area</vt:lpstr>
      <vt:lpstr>'Statewide Summary'!Print_Area</vt:lpstr>
      <vt:lpstr>Storey!Print_Area</vt:lpstr>
      <vt:lpstr>Title!Print_Area</vt:lpstr>
      <vt:lpstr>Washoe!Print_Area</vt:lpstr>
      <vt:lpstr>'White Pine'!Print_Area</vt:lpstr>
      <vt:lpstr>'Carson City'!Print_Titles</vt:lpstr>
      <vt:lpstr>'Churchill '!Print_Titles</vt:lpstr>
      <vt:lpstr>Clark!Print_Titles</vt:lpstr>
      <vt:lpstr>Douglas!Print_Titles</vt:lpstr>
      <vt:lpstr>Elko!Print_Titles</vt:lpstr>
      <vt:lpstr>Esmeralda!Print_Titles</vt:lpstr>
      <vt:lpstr>Eureka!Print_Titles</vt:lpstr>
      <vt:lpstr>Humboldt!Print_Titles</vt:lpstr>
      <vt:lpstr>Lander!Print_Titles</vt:lpstr>
      <vt:lpstr>Lincoln!Print_Titles</vt:lpstr>
      <vt:lpstr>'Lyon '!Print_Titles</vt:lpstr>
      <vt:lpstr>Mineral!Print_Titles</vt:lpstr>
      <vt:lpstr>'Nye '!Print_Titles</vt:lpstr>
      <vt:lpstr>Pershing!Print_Titles</vt:lpstr>
      <vt:lpstr>Storey!Print_Titles</vt:lpstr>
      <vt:lpstr>Washoe!Print_Titles</vt:lpstr>
      <vt:lpstr>'White Pine'!Print_Titles</vt:lpstr>
    </vt:vector>
  </TitlesOfParts>
  <Company>State of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Taxation</dc:creator>
  <cp:lastModifiedBy>Kelly S. Langley</cp:lastModifiedBy>
  <cp:lastPrinted>2026-03-26T19:58:32Z</cp:lastPrinted>
  <dcterms:created xsi:type="dcterms:W3CDTF">2006-05-27T18:55:50Z</dcterms:created>
  <dcterms:modified xsi:type="dcterms:W3CDTF">2026-03-26T20:00:36Z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0x0101001375F992EC020544925D6D37EDA7F695</vt:lpwstr>
  </property>
</Properties>
</file>