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lmstead\Desktop\"/>
    </mc:Choice>
  </mc:AlternateContent>
  <xr:revisionPtr revIDLastSave="0" documentId="13_ncr:1_{35FA4F1E-850D-4E4F-B02A-376A38F238A6}" xr6:coauthVersionLast="47" xr6:coauthVersionMax="47" xr10:uidLastSave="{00000000-0000-0000-0000-000000000000}"/>
  <bookViews>
    <workbookView xWindow="2325" yWindow="2175" windowWidth="15795" windowHeight="11295" firstSheet="7" activeTab="10" xr2:uid="{00000000-000D-0000-FFFF-FFFF00000000}"/>
  </bookViews>
  <sheets>
    <sheet name="FY25" sheetId="15" r:id="rId1"/>
    <sheet name="REV PED 1" sheetId="2" r:id="rId2"/>
    <sheet name="REV PED 2" sheetId="16" r:id="rId3"/>
    <sheet name="REV PED 3" sheetId="17" r:id="rId4"/>
    <sheet name="REV PED 4" sheetId="18" r:id="rId5"/>
    <sheet name="REV PED 5" sheetId="19" r:id="rId6"/>
    <sheet name="REV PED 6" sheetId="20" r:id="rId7"/>
    <sheet name="REV PED 7" sheetId="21" r:id="rId8"/>
    <sheet name="REV PED 8" sheetId="22" r:id="rId9"/>
    <sheet name="REV PED 9" sheetId="23" r:id="rId10"/>
    <sheet name="REV PED 10" sheetId="24" r:id="rId11"/>
  </sheets>
  <externalReferences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22" l="1"/>
  <c r="F41" i="22"/>
  <c r="C41" i="22"/>
  <c r="B41" i="22"/>
  <c r="G40" i="22"/>
  <c r="F40" i="22"/>
  <c r="H40" i="22" s="1"/>
  <c r="I40" i="22" s="1"/>
  <c r="C40" i="22"/>
  <c r="D40" i="22" s="1"/>
  <c r="E40" i="22" s="1"/>
  <c r="G39" i="22"/>
  <c r="F39" i="22"/>
  <c r="C39" i="22"/>
  <c r="D39" i="22" s="1"/>
  <c r="E39" i="22" s="1"/>
  <c r="G38" i="22"/>
  <c r="F38" i="22"/>
  <c r="C38" i="22"/>
  <c r="B38" i="22"/>
  <c r="G37" i="22"/>
  <c r="F37" i="22"/>
  <c r="C37" i="22"/>
  <c r="D37" i="22" s="1"/>
  <c r="E37" i="22" s="1"/>
  <c r="B37" i="22"/>
  <c r="G36" i="22"/>
  <c r="F36" i="22"/>
  <c r="C36" i="22"/>
  <c r="B36" i="22"/>
  <c r="G34" i="22"/>
  <c r="F34" i="22"/>
  <c r="C34" i="22"/>
  <c r="D34" i="22" s="1"/>
  <c r="G33" i="22"/>
  <c r="F33" i="22"/>
  <c r="H33" i="22" s="1"/>
  <c r="I33" i="22" s="1"/>
  <c r="C33" i="22"/>
  <c r="D33" i="22" s="1"/>
  <c r="G32" i="22"/>
  <c r="F32" i="22"/>
  <c r="C32" i="22"/>
  <c r="D32" i="22" s="1"/>
  <c r="G31" i="22"/>
  <c r="F31" i="22"/>
  <c r="C31" i="22"/>
  <c r="D31" i="22" s="1"/>
  <c r="E31" i="22" s="1"/>
  <c r="G30" i="22"/>
  <c r="F30" i="22"/>
  <c r="C30" i="22"/>
  <c r="D30" i="22" s="1"/>
  <c r="G29" i="22"/>
  <c r="C29" i="22"/>
  <c r="B29" i="22"/>
  <c r="F29" i="22" s="1"/>
  <c r="G28" i="22"/>
  <c r="F28" i="22"/>
  <c r="C28" i="22"/>
  <c r="E28" i="22" s="1"/>
  <c r="G27" i="22"/>
  <c r="C27" i="22"/>
  <c r="B27" i="22"/>
  <c r="G26" i="22"/>
  <c r="F26" i="22"/>
  <c r="C26" i="22"/>
  <c r="D26" i="22" s="1"/>
  <c r="E26" i="22" s="1"/>
  <c r="G25" i="22"/>
  <c r="C25" i="22"/>
  <c r="B25" i="22"/>
  <c r="G18" i="22"/>
  <c r="F18" i="22"/>
  <c r="C18" i="22"/>
  <c r="D18" i="22" s="1"/>
  <c r="G17" i="22"/>
  <c r="F17" i="22"/>
  <c r="C17" i="22"/>
  <c r="E17" i="22" s="1"/>
  <c r="B15" i="22"/>
  <c r="B20" i="22" s="1"/>
  <c r="G13" i="22"/>
  <c r="F13" i="22"/>
  <c r="H13" i="22" s="1"/>
  <c r="I13" i="22" s="1"/>
  <c r="C13" i="22"/>
  <c r="D13" i="22" s="1"/>
  <c r="E13" i="22" s="1"/>
  <c r="G12" i="22"/>
  <c r="F12" i="22"/>
  <c r="C12" i="22"/>
  <c r="D12" i="22" s="1"/>
  <c r="E12" i="22" s="1"/>
  <c r="G11" i="22"/>
  <c r="F11" i="22"/>
  <c r="C11" i="22"/>
  <c r="D11" i="22" s="1"/>
  <c r="E11" i="22" s="1"/>
  <c r="G10" i="22"/>
  <c r="F10" i="22"/>
  <c r="C10" i="22"/>
  <c r="D10" i="22" s="1"/>
  <c r="G9" i="22"/>
  <c r="F9" i="22"/>
  <c r="C9" i="22"/>
  <c r="D9" i="22" s="1"/>
  <c r="E9" i="22" s="1"/>
  <c r="G41" i="21"/>
  <c r="F41" i="21"/>
  <c r="H41" i="21" s="1"/>
  <c r="I41" i="21" s="1"/>
  <c r="C41" i="21"/>
  <c r="D41" i="21" s="1"/>
  <c r="E41" i="21" s="1"/>
  <c r="B41" i="21"/>
  <c r="G40" i="21"/>
  <c r="F40" i="21"/>
  <c r="H40" i="21" s="1"/>
  <c r="I40" i="21" s="1"/>
  <c r="C40" i="21"/>
  <c r="B40" i="21"/>
  <c r="G39" i="21"/>
  <c r="F39" i="21"/>
  <c r="C39" i="21"/>
  <c r="D39" i="21" s="1"/>
  <c r="E39" i="21" s="1"/>
  <c r="G38" i="21"/>
  <c r="F38" i="21"/>
  <c r="C38" i="21"/>
  <c r="D38" i="21" s="1"/>
  <c r="E38" i="21" s="1"/>
  <c r="G37" i="21"/>
  <c r="F37" i="21"/>
  <c r="C37" i="21"/>
  <c r="D37" i="21" s="1"/>
  <c r="E37" i="21" s="1"/>
  <c r="B37" i="21"/>
  <c r="G36" i="21"/>
  <c r="C36" i="21"/>
  <c r="B36" i="21"/>
  <c r="F36" i="21" s="1"/>
  <c r="G34" i="21"/>
  <c r="F34" i="21"/>
  <c r="C34" i="21"/>
  <c r="E34" i="21" s="1"/>
  <c r="G33" i="21"/>
  <c r="F33" i="21"/>
  <c r="C33" i="21"/>
  <c r="E33" i="21" s="1"/>
  <c r="G32" i="21"/>
  <c r="F32" i="21"/>
  <c r="D32" i="21"/>
  <c r="C32" i="21"/>
  <c r="E32" i="21" s="1"/>
  <c r="G31" i="21"/>
  <c r="F31" i="21"/>
  <c r="C31" i="21"/>
  <c r="D31" i="21" s="1"/>
  <c r="E31" i="21" s="1"/>
  <c r="G30" i="21"/>
  <c r="F30" i="21"/>
  <c r="C30" i="21"/>
  <c r="D30" i="21" s="1"/>
  <c r="G29" i="21"/>
  <c r="F29" i="21"/>
  <c r="C29" i="21"/>
  <c r="D29" i="21" s="1"/>
  <c r="E29" i="21" s="1"/>
  <c r="G28" i="21"/>
  <c r="F28" i="21"/>
  <c r="H28" i="21" s="1"/>
  <c r="I28" i="21" s="1"/>
  <c r="C28" i="21"/>
  <c r="E28" i="21" s="1"/>
  <c r="G27" i="21"/>
  <c r="F27" i="21"/>
  <c r="C27" i="21"/>
  <c r="D27" i="21" s="1"/>
  <c r="E27" i="21" s="1"/>
  <c r="G26" i="21"/>
  <c r="F26" i="21"/>
  <c r="H26" i="21" s="1"/>
  <c r="I26" i="21" s="1"/>
  <c r="C26" i="21"/>
  <c r="D26" i="21" s="1"/>
  <c r="E26" i="21" s="1"/>
  <c r="G25" i="21"/>
  <c r="C25" i="21"/>
  <c r="B25" i="21"/>
  <c r="B44" i="21" s="1"/>
  <c r="B20" i="21"/>
  <c r="G18" i="21"/>
  <c r="F18" i="21"/>
  <c r="H18" i="21" s="1"/>
  <c r="I18" i="21" s="1"/>
  <c r="C18" i="21"/>
  <c r="E18" i="21" s="1"/>
  <c r="G17" i="21"/>
  <c r="F17" i="21"/>
  <c r="C17" i="21"/>
  <c r="E17" i="21" s="1"/>
  <c r="B15" i="21"/>
  <c r="G13" i="21"/>
  <c r="F13" i="21"/>
  <c r="C13" i="21"/>
  <c r="D13" i="21" s="1"/>
  <c r="E13" i="21" s="1"/>
  <c r="G12" i="21"/>
  <c r="F12" i="21"/>
  <c r="C12" i="21"/>
  <c r="D12" i="21" s="1"/>
  <c r="E12" i="21" s="1"/>
  <c r="G11" i="21"/>
  <c r="F11" i="21"/>
  <c r="C11" i="21"/>
  <c r="D11" i="21" s="1"/>
  <c r="E11" i="21" s="1"/>
  <c r="G10" i="21"/>
  <c r="F10" i="21"/>
  <c r="C10" i="21"/>
  <c r="D10" i="21" s="1"/>
  <c r="E10" i="21" s="1"/>
  <c r="G9" i="21"/>
  <c r="F9" i="21"/>
  <c r="H9" i="21" s="1"/>
  <c r="I9" i="21" s="1"/>
  <c r="C9" i="21"/>
  <c r="G41" i="20"/>
  <c r="F41" i="20"/>
  <c r="C41" i="20"/>
  <c r="D41" i="20" s="1"/>
  <c r="E41" i="20" s="1"/>
  <c r="B41" i="20"/>
  <c r="G40" i="20"/>
  <c r="C40" i="20"/>
  <c r="B40" i="20"/>
  <c r="F40" i="20" s="1"/>
  <c r="H40" i="20" s="1"/>
  <c r="I40" i="20" s="1"/>
  <c r="G39" i="20"/>
  <c r="F39" i="20"/>
  <c r="C39" i="20"/>
  <c r="D39" i="20" s="1"/>
  <c r="E39" i="20" s="1"/>
  <c r="G38" i="20"/>
  <c r="F38" i="20"/>
  <c r="C38" i="20"/>
  <c r="D38" i="20" s="1"/>
  <c r="E38" i="20" s="1"/>
  <c r="G37" i="20"/>
  <c r="F37" i="20"/>
  <c r="C37" i="20"/>
  <c r="D37" i="20" s="1"/>
  <c r="E37" i="20" s="1"/>
  <c r="B37" i="20"/>
  <c r="G36" i="20"/>
  <c r="C36" i="20"/>
  <c r="B36" i="20"/>
  <c r="F36" i="20" s="1"/>
  <c r="G34" i="20"/>
  <c r="F34" i="20"/>
  <c r="C34" i="20"/>
  <c r="G33" i="20"/>
  <c r="F33" i="20"/>
  <c r="H33" i="20" s="1"/>
  <c r="I33" i="20" s="1"/>
  <c r="C33" i="20"/>
  <c r="D33" i="20" s="1"/>
  <c r="G32" i="20"/>
  <c r="F32" i="20"/>
  <c r="C32" i="20"/>
  <c r="G31" i="20"/>
  <c r="F31" i="20"/>
  <c r="C31" i="20"/>
  <c r="D31" i="20" s="1"/>
  <c r="E31" i="20" s="1"/>
  <c r="G30" i="20"/>
  <c r="F30" i="20"/>
  <c r="C30" i="20"/>
  <c r="B30" i="20"/>
  <c r="G29" i="20"/>
  <c r="F29" i="20"/>
  <c r="H29" i="20" s="1"/>
  <c r="I29" i="20" s="1"/>
  <c r="C29" i="20"/>
  <c r="D29" i="20" s="1"/>
  <c r="E29" i="20" s="1"/>
  <c r="G28" i="20"/>
  <c r="F28" i="20"/>
  <c r="H28" i="20" s="1"/>
  <c r="I28" i="20" s="1"/>
  <c r="C28" i="20"/>
  <c r="D28" i="20" s="1"/>
  <c r="E28" i="20" s="1"/>
  <c r="G27" i="20"/>
  <c r="C27" i="20"/>
  <c r="B27" i="20"/>
  <c r="G26" i="20"/>
  <c r="F26" i="20"/>
  <c r="C26" i="20"/>
  <c r="D26" i="20" s="1"/>
  <c r="E26" i="20" s="1"/>
  <c r="G25" i="20"/>
  <c r="F25" i="20"/>
  <c r="C25" i="20"/>
  <c r="D25" i="20" s="1"/>
  <c r="B25" i="20"/>
  <c r="B44" i="20" s="1"/>
  <c r="G18" i="20"/>
  <c r="F18" i="20"/>
  <c r="C18" i="20"/>
  <c r="B18" i="20"/>
  <c r="G17" i="20"/>
  <c r="C17" i="20"/>
  <c r="B17" i="20"/>
  <c r="F17" i="20" s="1"/>
  <c r="B15" i="20"/>
  <c r="B20" i="20" s="1"/>
  <c r="G13" i="20"/>
  <c r="F13" i="20"/>
  <c r="H13" i="20" s="1"/>
  <c r="I13" i="20" s="1"/>
  <c r="C13" i="20"/>
  <c r="D13" i="20" s="1"/>
  <c r="E13" i="20" s="1"/>
  <c r="G12" i="20"/>
  <c r="F12" i="20"/>
  <c r="C12" i="20"/>
  <c r="D12" i="20" s="1"/>
  <c r="E12" i="20" s="1"/>
  <c r="G11" i="20"/>
  <c r="F11" i="20"/>
  <c r="C11" i="20"/>
  <c r="D11" i="20" s="1"/>
  <c r="E11" i="20" s="1"/>
  <c r="G10" i="20"/>
  <c r="F10" i="20"/>
  <c r="H10" i="20" s="1"/>
  <c r="I10" i="20" s="1"/>
  <c r="C10" i="20"/>
  <c r="D10" i="20" s="1"/>
  <c r="E10" i="20" s="1"/>
  <c r="G9" i="20"/>
  <c r="F9" i="20"/>
  <c r="C9" i="20"/>
  <c r="G41" i="18"/>
  <c r="F41" i="18"/>
  <c r="C41" i="18"/>
  <c r="D41" i="18" s="1"/>
  <c r="E41" i="18" s="1"/>
  <c r="B41" i="18"/>
  <c r="G40" i="18"/>
  <c r="F40" i="18"/>
  <c r="C40" i="18"/>
  <c r="B40" i="18"/>
  <c r="G39" i="18"/>
  <c r="F39" i="18"/>
  <c r="C39" i="18"/>
  <c r="B39" i="18"/>
  <c r="D39" i="18" s="1"/>
  <c r="E39" i="18" s="1"/>
  <c r="G38" i="18"/>
  <c r="F38" i="18"/>
  <c r="C38" i="18"/>
  <c r="B38" i="18"/>
  <c r="G37" i="18"/>
  <c r="F37" i="18"/>
  <c r="H37" i="18" s="1"/>
  <c r="I37" i="18" s="1"/>
  <c r="C37" i="18"/>
  <c r="D37" i="18" s="1"/>
  <c r="E37" i="18" s="1"/>
  <c r="B37" i="18"/>
  <c r="G36" i="18"/>
  <c r="F36" i="18"/>
  <c r="C36" i="18"/>
  <c r="B36" i="18"/>
  <c r="G34" i="18"/>
  <c r="F34" i="18"/>
  <c r="C34" i="18"/>
  <c r="E34" i="18" s="1"/>
  <c r="G33" i="18"/>
  <c r="F33" i="18"/>
  <c r="C33" i="18"/>
  <c r="E33" i="18" s="1"/>
  <c r="G32" i="18"/>
  <c r="F32" i="18"/>
  <c r="C32" i="18"/>
  <c r="E32" i="18" s="1"/>
  <c r="G31" i="18"/>
  <c r="F31" i="18"/>
  <c r="C31" i="18"/>
  <c r="D31" i="18" s="1"/>
  <c r="E31" i="18" s="1"/>
  <c r="G30" i="18"/>
  <c r="F30" i="18"/>
  <c r="H30" i="18" s="1"/>
  <c r="I30" i="18" s="1"/>
  <c r="C30" i="18"/>
  <c r="E30" i="18" s="1"/>
  <c r="G29" i="18"/>
  <c r="F29" i="18"/>
  <c r="C29" i="18"/>
  <c r="D29" i="18" s="1"/>
  <c r="E29" i="18" s="1"/>
  <c r="B29" i="18"/>
  <c r="G28" i="18"/>
  <c r="F28" i="18"/>
  <c r="C28" i="18"/>
  <c r="D28" i="18" s="1"/>
  <c r="G27" i="18"/>
  <c r="F27" i="18"/>
  <c r="C27" i="18"/>
  <c r="D27" i="18" s="1"/>
  <c r="E27" i="18" s="1"/>
  <c r="B27" i="18"/>
  <c r="G26" i="18"/>
  <c r="F26" i="18"/>
  <c r="C26" i="18"/>
  <c r="D26" i="18" s="1"/>
  <c r="E26" i="18" s="1"/>
  <c r="G25" i="18"/>
  <c r="F25" i="18"/>
  <c r="C25" i="18"/>
  <c r="B25" i="18"/>
  <c r="G18" i="18"/>
  <c r="F18" i="18"/>
  <c r="E18" i="18"/>
  <c r="D18" i="18"/>
  <c r="G17" i="18"/>
  <c r="F17" i="18"/>
  <c r="E17" i="18"/>
  <c r="D17" i="18"/>
  <c r="B15" i="18"/>
  <c r="B20" i="18" s="1"/>
  <c r="G13" i="18"/>
  <c r="F13" i="18"/>
  <c r="C13" i="18"/>
  <c r="D13" i="18" s="1"/>
  <c r="E13" i="18" s="1"/>
  <c r="G12" i="18"/>
  <c r="F12" i="18"/>
  <c r="C12" i="18"/>
  <c r="D12" i="18" s="1"/>
  <c r="E12" i="18" s="1"/>
  <c r="G11" i="18"/>
  <c r="F11" i="18"/>
  <c r="C11" i="18"/>
  <c r="D11" i="18" s="1"/>
  <c r="E11" i="18" s="1"/>
  <c r="G10" i="18"/>
  <c r="F10" i="18"/>
  <c r="H10" i="18" s="1"/>
  <c r="I10" i="18" s="1"/>
  <c r="C10" i="18"/>
  <c r="G9" i="18"/>
  <c r="F9" i="18"/>
  <c r="C9" i="18"/>
  <c r="D9" i="18" s="1"/>
  <c r="H28" i="22" l="1"/>
  <c r="I28" i="22" s="1"/>
  <c r="H34" i="21"/>
  <c r="I34" i="21" s="1"/>
  <c r="H13" i="21"/>
  <c r="I13" i="21" s="1"/>
  <c r="H39" i="22"/>
  <c r="I39" i="22" s="1"/>
  <c r="H34" i="20"/>
  <c r="I34" i="20" s="1"/>
  <c r="H30" i="20"/>
  <c r="I30" i="20" s="1"/>
  <c r="H29" i="18"/>
  <c r="I29" i="18" s="1"/>
  <c r="H12" i="21"/>
  <c r="I12" i="21" s="1"/>
  <c r="E28" i="18"/>
  <c r="H12" i="20"/>
  <c r="I12" i="20" s="1"/>
  <c r="H10" i="21"/>
  <c r="I10" i="21" s="1"/>
  <c r="H27" i="21"/>
  <c r="I27" i="21" s="1"/>
  <c r="H32" i="21"/>
  <c r="I32" i="21" s="1"/>
  <c r="D38" i="22"/>
  <c r="E38" i="22" s="1"/>
  <c r="H9" i="18"/>
  <c r="D30" i="18"/>
  <c r="D36" i="18"/>
  <c r="E36" i="18" s="1"/>
  <c r="H36" i="18"/>
  <c r="I36" i="18" s="1"/>
  <c r="H32" i="20"/>
  <c r="I32" i="20" s="1"/>
  <c r="H30" i="21"/>
  <c r="I30" i="21" s="1"/>
  <c r="D25" i="22"/>
  <c r="E25" i="22" s="1"/>
  <c r="H12" i="22"/>
  <c r="I12" i="22" s="1"/>
  <c r="H27" i="18"/>
  <c r="I27" i="18" s="1"/>
  <c r="H39" i="18"/>
  <c r="I39" i="18" s="1"/>
  <c r="G15" i="20"/>
  <c r="G20" i="20" s="1"/>
  <c r="H26" i="20"/>
  <c r="I26" i="20" s="1"/>
  <c r="H11" i="21"/>
  <c r="I11" i="21" s="1"/>
  <c r="D17" i="21"/>
  <c r="E30" i="21"/>
  <c r="E30" i="22"/>
  <c r="E34" i="22"/>
  <c r="D40" i="18"/>
  <c r="E40" i="18" s="1"/>
  <c r="H17" i="18"/>
  <c r="I17" i="18" s="1"/>
  <c r="H9" i="22"/>
  <c r="I9" i="22" s="1"/>
  <c r="D36" i="22"/>
  <c r="E36" i="22" s="1"/>
  <c r="D27" i="22"/>
  <c r="E27" i="22" s="1"/>
  <c r="H40" i="18"/>
  <c r="I40" i="18" s="1"/>
  <c r="D28" i="21"/>
  <c r="D40" i="21"/>
  <c r="E40" i="21" s="1"/>
  <c r="H25" i="18"/>
  <c r="C15" i="21"/>
  <c r="C20" i="21" s="1"/>
  <c r="H36" i="22"/>
  <c r="I36" i="22" s="1"/>
  <c r="G15" i="22"/>
  <c r="G20" i="22" s="1"/>
  <c r="E32" i="22"/>
  <c r="H38" i="20"/>
  <c r="I38" i="20" s="1"/>
  <c r="H32" i="22"/>
  <c r="I32" i="22" s="1"/>
  <c r="H26" i="18"/>
  <c r="I26" i="18" s="1"/>
  <c r="H38" i="18"/>
  <c r="I38" i="18" s="1"/>
  <c r="H41" i="18"/>
  <c r="I41" i="18" s="1"/>
  <c r="H29" i="21"/>
  <c r="I29" i="21" s="1"/>
  <c r="D9" i="21"/>
  <c r="C44" i="22"/>
  <c r="D34" i="18"/>
  <c r="D34" i="21"/>
  <c r="H18" i="18"/>
  <c r="I18" i="18" s="1"/>
  <c r="D38" i="18"/>
  <c r="E38" i="18" s="1"/>
  <c r="H11" i="20"/>
  <c r="I11" i="20" s="1"/>
  <c r="D18" i="20"/>
  <c r="E18" i="20" s="1"/>
  <c r="D27" i="20"/>
  <c r="E27" i="20" s="1"/>
  <c r="H31" i="21"/>
  <c r="I31" i="21" s="1"/>
  <c r="H38" i="21"/>
  <c r="I38" i="21" s="1"/>
  <c r="H11" i="18"/>
  <c r="I11" i="18" s="1"/>
  <c r="H12" i="18"/>
  <c r="I12" i="18" s="1"/>
  <c r="D25" i="18"/>
  <c r="E25" i="18" s="1"/>
  <c r="H31" i="18"/>
  <c r="I31" i="18" s="1"/>
  <c r="H34" i="18"/>
  <c r="I34" i="18" s="1"/>
  <c r="H36" i="20"/>
  <c r="I36" i="20" s="1"/>
  <c r="H38" i="22"/>
  <c r="I38" i="22" s="1"/>
  <c r="C44" i="18"/>
  <c r="H18" i="20"/>
  <c r="I18" i="20" s="1"/>
  <c r="H31" i="20"/>
  <c r="I31" i="20" s="1"/>
  <c r="H39" i="20"/>
  <c r="I39" i="20" s="1"/>
  <c r="H30" i="22"/>
  <c r="I30" i="22" s="1"/>
  <c r="H34" i="22"/>
  <c r="I34" i="22" s="1"/>
  <c r="D32" i="18"/>
  <c r="H17" i="21"/>
  <c r="I17" i="21" s="1"/>
  <c r="H39" i="21"/>
  <c r="I39" i="21" s="1"/>
  <c r="H26" i="22"/>
  <c r="I26" i="22" s="1"/>
  <c r="H13" i="18"/>
  <c r="I13" i="18" s="1"/>
  <c r="H36" i="21"/>
  <c r="I36" i="21" s="1"/>
  <c r="H31" i="22"/>
  <c r="I31" i="22" s="1"/>
  <c r="G44" i="18"/>
  <c r="H32" i="18"/>
  <c r="I32" i="18" s="1"/>
  <c r="C15" i="20"/>
  <c r="C20" i="20" s="1"/>
  <c r="D18" i="21"/>
  <c r="F15" i="22"/>
  <c r="F20" i="22" s="1"/>
  <c r="F15" i="20"/>
  <c r="F20" i="20" s="1"/>
  <c r="G44" i="20"/>
  <c r="H37" i="20"/>
  <c r="I37" i="20" s="1"/>
  <c r="H17" i="22"/>
  <c r="I17" i="22" s="1"/>
  <c r="D33" i="18"/>
  <c r="D41" i="22"/>
  <c r="E41" i="22" s="1"/>
  <c r="G15" i="21"/>
  <c r="G20" i="21" s="1"/>
  <c r="H33" i="18"/>
  <c r="I33" i="18" s="1"/>
  <c r="H41" i="20"/>
  <c r="I41" i="20" s="1"/>
  <c r="H33" i="21"/>
  <c r="I33" i="21" s="1"/>
  <c r="H11" i="22"/>
  <c r="I11" i="22" s="1"/>
  <c r="H18" i="22"/>
  <c r="I18" i="22" s="1"/>
  <c r="C15" i="18"/>
  <c r="C20" i="18" s="1"/>
  <c r="H17" i="20"/>
  <c r="I17" i="20" s="1"/>
  <c r="G44" i="21"/>
  <c r="H29" i="22"/>
  <c r="I29" i="22" s="1"/>
  <c r="H37" i="22"/>
  <c r="I37" i="22" s="1"/>
  <c r="H41" i="22"/>
  <c r="I41" i="22" s="1"/>
  <c r="C44" i="21"/>
  <c r="E10" i="22"/>
  <c r="D15" i="22"/>
  <c r="F27" i="22"/>
  <c r="H27" i="22" s="1"/>
  <c r="I27" i="22" s="1"/>
  <c r="E33" i="22"/>
  <c r="G44" i="22"/>
  <c r="C15" i="22"/>
  <c r="C20" i="22" s="1"/>
  <c r="D29" i="22"/>
  <c r="E29" i="22" s="1"/>
  <c r="F25" i="22"/>
  <c r="D17" i="22"/>
  <c r="B44" i="22"/>
  <c r="E18" i="22"/>
  <c r="H10" i="22"/>
  <c r="I10" i="22" s="1"/>
  <c r="D28" i="22"/>
  <c r="F15" i="21"/>
  <c r="F20" i="21" s="1"/>
  <c r="D25" i="21"/>
  <c r="D33" i="21"/>
  <c r="D36" i="21"/>
  <c r="E36" i="21" s="1"/>
  <c r="F25" i="21"/>
  <c r="H37" i="21"/>
  <c r="I37" i="21" s="1"/>
  <c r="H15" i="21"/>
  <c r="E25" i="20"/>
  <c r="D9" i="20"/>
  <c r="F27" i="20"/>
  <c r="H27" i="20" s="1"/>
  <c r="I27" i="20" s="1"/>
  <c r="E33" i="20"/>
  <c r="D36" i="20"/>
  <c r="E36" i="20" s="1"/>
  <c r="H25" i="20"/>
  <c r="D17" i="20"/>
  <c r="E17" i="20" s="1"/>
  <c r="D40" i="20"/>
  <c r="E40" i="20" s="1"/>
  <c r="H9" i="20"/>
  <c r="C44" i="20"/>
  <c r="D30" i="20"/>
  <c r="E30" i="20" s="1"/>
  <c r="D32" i="20"/>
  <c r="E32" i="20" s="1"/>
  <c r="D34" i="20"/>
  <c r="E34" i="20" s="1"/>
  <c r="I9" i="18"/>
  <c r="I25" i="18"/>
  <c r="E9" i="18"/>
  <c r="F15" i="18"/>
  <c r="F20" i="18" s="1"/>
  <c r="G15" i="18"/>
  <c r="G20" i="18" s="1"/>
  <c r="B44" i="18"/>
  <c r="F44" i="18"/>
  <c r="H28" i="18"/>
  <c r="I28" i="18" s="1"/>
  <c r="D10" i="18"/>
  <c r="E10" i="18" s="1"/>
  <c r="D44" i="18" l="1"/>
  <c r="E44" i="18" s="1"/>
  <c r="H15" i="18"/>
  <c r="D44" i="22"/>
  <c r="E44" i="22" s="1"/>
  <c r="D44" i="20"/>
  <c r="E44" i="20" s="1"/>
  <c r="D15" i="21"/>
  <c r="E9" i="21"/>
  <c r="D20" i="22"/>
  <c r="E20" i="22" s="1"/>
  <c r="E15" i="22"/>
  <c r="F44" i="22"/>
  <c r="H25" i="22"/>
  <c r="H15" i="22"/>
  <c r="F44" i="21"/>
  <c r="H25" i="21"/>
  <c r="H20" i="21"/>
  <c r="I20" i="21" s="1"/>
  <c r="I15" i="21"/>
  <c r="D44" i="21"/>
  <c r="E44" i="21" s="1"/>
  <c r="E25" i="21"/>
  <c r="H44" i="20"/>
  <c r="I44" i="20" s="1"/>
  <c r="I25" i="20"/>
  <c r="D15" i="20"/>
  <c r="E9" i="20"/>
  <c r="F44" i="20"/>
  <c r="I9" i="20"/>
  <c r="H15" i="20"/>
  <c r="D15" i="18"/>
  <c r="H44" i="18"/>
  <c r="I44" i="18" s="1"/>
  <c r="H20" i="18"/>
  <c r="I20" i="18" s="1"/>
  <c r="I15" i="18"/>
  <c r="D20" i="21" l="1"/>
  <c r="E20" i="21" s="1"/>
  <c r="E15" i="21"/>
  <c r="H20" i="22"/>
  <c r="I20" i="22" s="1"/>
  <c r="I15" i="22"/>
  <c r="I25" i="22"/>
  <c r="H44" i="22"/>
  <c r="I44" i="22" s="1"/>
  <c r="H44" i="21"/>
  <c r="I44" i="21" s="1"/>
  <c r="I25" i="21"/>
  <c r="H20" i="20"/>
  <c r="I20" i="20" s="1"/>
  <c r="I15" i="20"/>
  <c r="E15" i="20"/>
  <c r="D20" i="20"/>
  <c r="E20" i="20" s="1"/>
  <c r="D20" i="18"/>
  <c r="E20" i="18" s="1"/>
  <c r="E1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L. Williams</author>
  </authors>
  <commentList>
    <comment ref="N5" authorId="0" shapeId="0" xr:uid="{927710C4-798A-4FD0-AEFF-F882F9D05CFD}">
      <text>
        <r>
          <rPr>
            <b/>
            <sz val="9"/>
            <color indexed="81"/>
            <rFont val="Tahoma"/>
            <family val="2"/>
          </rPr>
          <t>Kevin L. Williams:</t>
        </r>
        <r>
          <rPr>
            <sz val="9"/>
            <color indexed="81"/>
            <rFont val="Tahoma"/>
            <family val="2"/>
          </rPr>
          <t xml:space="preserve">
Enter Net distribution total from SUT Distribution Report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30" authorId="0" shapeId="0" xr:uid="{A3FA8797-8C7C-4115-8287-5899765580AB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Administrator:
Total wont match Dawn due to admustments being made to PTS/PTC for Washoe. </t>
        </r>
      </text>
    </comment>
  </commentList>
</comments>
</file>

<file path=xl/sharedStrings.xml><?xml version="1.0" encoding="utf-8"?>
<sst xmlns="http://schemas.openxmlformats.org/spreadsheetml/2006/main" count="956" uniqueCount="109">
  <si>
    <t>GROSS REVENUE COMPARISONS</t>
  </si>
  <si>
    <t>SALES &amp; BUSINESS TAX COLLECTIONS</t>
  </si>
  <si>
    <t>TOTAL</t>
  </si>
  <si>
    <t>--------------------------------------------------------</t>
  </si>
  <si>
    <t>-</t>
  </si>
  <si>
    <t>2% SALES TAX</t>
  </si>
  <si>
    <t>2.6% LOCAL SCHOOL SUPPORT TAX</t>
  </si>
  <si>
    <t>1/2% BASIC CITY/COUNTY RELIEF TAX</t>
  </si>
  <si>
    <t>1 3/4% SUPPLEMENTAL CITY/COUNTY RELIEF TAX</t>
  </si>
  <si>
    <t>COUNTY OPTIONAL TAX</t>
  </si>
  <si>
    <t xml:space="preserve">    SUBTOTAL SALES TAX</t>
  </si>
  <si>
    <t>BUSINESS LICENSE FEE</t>
  </si>
  <si>
    <t>MODIFIED BUSINESS TAX</t>
  </si>
  <si>
    <t xml:space="preserve">   TOTAL SALES &amp; BUSINESS TAX</t>
  </si>
  <si>
    <t>EXCISE TAXES COLLECTIONS</t>
  </si>
  <si>
    <t>------------------------------------------------</t>
  </si>
  <si>
    <t>CIGARETTE TAX</t>
  </si>
  <si>
    <t>OTHER TOBACCO TAX</t>
  </si>
  <si>
    <t>LIQUOR TAX</t>
  </si>
  <si>
    <t>INSURANCE PREMIUM TAX</t>
  </si>
  <si>
    <t>TIRE TAX</t>
  </si>
  <si>
    <t>GOVERNMENTAL SERVICES TAX</t>
  </si>
  <si>
    <t>LIVE ENTERTAINMENT TAX</t>
  </si>
  <si>
    <t>BANK EXCISE TAX</t>
  </si>
  <si>
    <t>REAL PROPERTY TRANSFER TAX</t>
  </si>
  <si>
    <t>LODGING TAX</t>
  </si>
  <si>
    <t xml:space="preserve">  3/8% FOR TOURISM</t>
  </si>
  <si>
    <t xml:space="preserve">  3% TO SCHOOL SUPPORT FUND</t>
  </si>
  <si>
    <t xml:space="preserve">   TOTAL EXCISE TAXES</t>
  </si>
  <si>
    <t xml:space="preserve">PREPARED BY DEPARTMENT OF TAXATION </t>
  </si>
  <si>
    <t>DIFFERENCE</t>
  </si>
  <si>
    <t>FISCAL</t>
  </si>
  <si>
    <t>PRIOR FISCAL</t>
  </si>
  <si>
    <t>AMOUNT</t>
  </si>
  <si>
    <t>PERCENT</t>
  </si>
  <si>
    <t>YEAR TO DATE</t>
  </si>
  <si>
    <t>----------------------------------------------------------</t>
  </si>
  <si>
    <t>--------------------------------------------------</t>
  </si>
  <si>
    <t>GOVERNMENTAL SERVICES FEE-SHRT TERM LESSOR</t>
  </si>
  <si>
    <t>-----------------</t>
  </si>
  <si>
    <t>-----------------------</t>
  </si>
  <si>
    <t>--------------------------</t>
  </si>
  <si>
    <t>------------------</t>
  </si>
  <si>
    <t>------------------------</t>
  </si>
  <si>
    <t>TRANSPORTATION CONNECTION TAX</t>
  </si>
  <si>
    <t>COMMERCE TAX</t>
  </si>
  <si>
    <t>RETAIL CANNABIS TAX</t>
  </si>
  <si>
    <t>WHOLESALE CANNABIS TAX</t>
  </si>
  <si>
    <t>REATIL CANNABIS TAX</t>
  </si>
  <si>
    <t>GOLD AND SILVER EXCISE TAX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</si>
  <si>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</si>
  <si>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</si>
  <si>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</si>
  <si>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</si>
  <si>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</si>
  <si>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</si>
  <si>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</si>
  <si>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</si>
  <si>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</si>
  <si>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</si>
  <si>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</si>
  <si>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</si>
  <si>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FOR FISCAL YEAR 2025</t>
  </si>
  <si>
    <t>FOR JULY 2025 VS JULY 2024</t>
  </si>
  <si>
    <t>JULY 2025</t>
  </si>
  <si>
    <t>SALES &amp; BUSINESS TAX-FY26 JULY ACTIVITY/AUGUST COLLECTIONS</t>
  </si>
  <si>
    <t>------------------------------</t>
  </si>
  <si>
    <t>-------------------------</t>
  </si>
  <si>
    <t>EXCISE TAXES-FY25 AUGUST ACTIVITY/SEPTEMBER COLLECTIONS</t>
  </si>
  <si>
    <t>SALES &amp; BUSINESS TAX-FY26 AUGUST ACTIVITY/SEPTEMBER COLLECTIONS</t>
  </si>
  <si>
    <t>AUGUST 2025</t>
  </si>
  <si>
    <t>FOR AUGUST 2025 VS AUGUST 2024</t>
  </si>
  <si>
    <t>EXCISE TAXES-FY25 SEPTEMBER ACTIVITY/OCTOBER COLLECTIONS</t>
  </si>
  <si>
    <t>SALES &amp; BUSINESS TAX-FY26 SEPTEMBER ACTIVITY/OCTOBER COLLECTIONS</t>
  </si>
  <si>
    <t>SEPTEMBER 2025</t>
  </si>
  <si>
    <t>FOR SEPTEMBER 2025 VS SEPTEMBER 2024</t>
  </si>
  <si>
    <t>EXCISE TAXES-FY25 OCTOBER ACTIVITY/NOVEMBER COLLECTIONS</t>
  </si>
  <si>
    <t>SALES &amp; BUSINESS TAX-FY26 OCTOBER ACTIVITY/NOVEMBER COLLECTIONS</t>
  </si>
  <si>
    <t>OCTOBER 2025</t>
  </si>
  <si>
    <t>FOR OCTOBER 2025 VS OCTOBER 2024</t>
  </si>
  <si>
    <t>EXCISE TAXES-FY25 NOVEMBER ACTIVITY/DECEMBER COLLECTIONS</t>
  </si>
  <si>
    <t>SALES &amp; BUSINESS TAX-FY26 NOVEMBER ACTIVITY/DECEMBER COLLECTIONS</t>
  </si>
  <si>
    <t>NOVEMBER 2025</t>
  </si>
  <si>
    <t>FOR NOVEMBER 2025 VS NOVEMBER 2024</t>
  </si>
  <si>
    <t>EXCISE TAXES-FY25 DECEMBER ACTIVITY/JANUARY COLLECTIONS</t>
  </si>
  <si>
    <t>SALES &amp; BUSINESS TAX-FY26 DECEMBER ACTIVITY/JANUARY COLLECTIONS</t>
  </si>
  <si>
    <t>DECEMBER 2025</t>
  </si>
  <si>
    <t>FOR DECEMBER 2025 VS DECEMBER 2024</t>
  </si>
  <si>
    <t>EXCISE TAXES-FY25 JANUARY ACTIVITY/FEBRUARY COLLECTIONS</t>
  </si>
  <si>
    <t>SALES &amp; BUSINESS TAX-FY26 JANUARY ACTIVITY/FEBRUARY COLLECTIONS</t>
  </si>
  <si>
    <t>JANUARY 2026</t>
  </si>
  <si>
    <t>FOR JANUARY 2026 VS JANUARY 2025</t>
  </si>
  <si>
    <t>EXCISE TAXES-FY25 FEBRUARY ACTIVITY/MARCH COLLECTIONS</t>
  </si>
  <si>
    <t>SALES &amp; BUSINESS TAX-FY26 FEBRUARY ACTIVITY/MARCH COLLECTIONS</t>
  </si>
  <si>
    <t>FEBRUARY 2026</t>
  </si>
  <si>
    <t>FOR FEBRUARY 2026 VS FEBRUARY 2025</t>
  </si>
  <si>
    <t>---------------------------</t>
  </si>
  <si>
    <t>-------------------------------</t>
  </si>
  <si>
    <t>INSURANCE PREMIUM TAX | RETALIATORY TAX</t>
  </si>
  <si>
    <t>EXCISE TAXES-FY25 MARCH ACTIVITY/APRIL COLLECTIONS</t>
  </si>
  <si>
    <t>SALES &amp; BUSINESS TAX-FY26 MARCH ACTIVITY/APRIL COLLECTIONS</t>
  </si>
  <si>
    <t>MARCH 2026</t>
  </si>
  <si>
    <t>FOR MARCH 2026 VS MARCH 2025</t>
  </si>
  <si>
    <t>EXCISE TAXES-FY25 JULY ACTIVITY/AUGUST COLLECTIONS</t>
  </si>
  <si>
    <t>FOR APRIL 2026 VS APRIL 2025</t>
  </si>
  <si>
    <t>APRIL 2026</t>
  </si>
  <si>
    <t>SALES &amp; BUSINESS TAX-FY26 APRIL ACTIVITY/MAY COLLECTIONS</t>
  </si>
  <si>
    <t>EXCISE TAXES-FY25 APRIL ACTIVITY/MAY COLLECTIONS</t>
  </si>
  <si>
    <t>-----------------------------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</si>
</sst>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indexed="63"/>
      <name val="Courier New"/>
      <family val="3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left"/>
    </xf>
    <xf numFmtId="10" fontId="1" fillId="0" borderId="0" xfId="17" applyNumberFormat="1"/>
    <xf numFmtId="0" fontId="1" fillId="0" borderId="0" xfId="17" applyAlignment="1">
      <alignment horizontal="center"/>
    </xf>
    <xf numFmtId="0" fontId="2" fillId="0" borderId="0" xfId="17" applyFont="1" applyAlignment="1">
      <alignment horizontal="center"/>
    </xf>
    <xf numFmtId="0" fontId="1" fillId="0" borderId="0" xfId="17"/>
    <xf numFmtId="7" fontId="1" fillId="0" borderId="0" xfId="17" applyNumberFormat="1" applyAlignment="1">
      <alignment horizontal="fill"/>
    </xf>
    <xf numFmtId="164" fontId="1" fillId="0" borderId="0" xfId="17" applyNumberFormat="1" applyAlignment="1">
      <alignment horizontal="fill"/>
    </xf>
    <xf numFmtId="5" fontId="1" fillId="0" borderId="0" xfId="17" applyNumberFormat="1"/>
    <xf numFmtId="164" fontId="1" fillId="0" borderId="0" xfId="17" applyNumberFormat="1"/>
    <xf numFmtId="0" fontId="1" fillId="0" borderId="0" xfId="17" applyAlignment="1">
      <alignment horizontal="left"/>
    </xf>
    <xf numFmtId="42" fontId="1" fillId="0" borderId="0" xfId="17" applyNumberFormat="1"/>
    <xf numFmtId="164" fontId="1" fillId="0" borderId="0" xfId="17" applyNumberFormat="1" applyAlignment="1">
      <alignment horizontal="right"/>
    </xf>
    <xf numFmtId="0" fontId="3" fillId="0" borderId="0" xfId="17" applyFont="1"/>
    <xf numFmtId="0" fontId="2" fillId="0" borderId="0" xfId="13" quotePrefix="1" applyFont="1" applyAlignment="1">
      <alignment horizontal="left"/>
    </xf>
    <xf numFmtId="10" fontId="1" fillId="0" borderId="0" xfId="17" applyNumberFormat="1" applyAlignment="1">
      <alignment horizontal="center"/>
    </xf>
    <xf numFmtId="49" fontId="1" fillId="0" borderId="0" xfId="17" quotePrefix="1" applyNumberFormat="1" applyAlignment="1">
      <alignment horizontal="center"/>
    </xf>
    <xf numFmtId="0" fontId="1" fillId="0" borderId="0" xfId="13" applyAlignment="1">
      <alignment wrapText="1"/>
    </xf>
    <xf numFmtId="0" fontId="1" fillId="0" borderId="0" xfId="13" applyAlignment="1">
      <alignment horizontal="left"/>
    </xf>
    <xf numFmtId="164" fontId="1" fillId="0" borderId="0" xfId="17" quotePrefix="1" applyNumberFormat="1"/>
    <xf numFmtId="164" fontId="1" fillId="0" borderId="0" xfId="13" applyNumberFormat="1"/>
    <xf numFmtId="164" fontId="1" fillId="0" borderId="0" xfId="13" quotePrefix="1" applyNumberFormat="1"/>
    <xf numFmtId="8" fontId="1" fillId="0" borderId="0" xfId="13" applyNumberFormat="1"/>
    <xf numFmtId="0" fontId="1" fillId="0" borderId="0" xfId="13"/>
    <xf numFmtId="164" fontId="1" fillId="0" borderId="0" xfId="13" applyNumberFormat="1" applyAlignment="1">
      <alignment horizontal="center"/>
    </xf>
    <xf numFmtId="164" fontId="1" fillId="0" borderId="0" xfId="13" quotePrefix="1" applyNumberFormat="1" applyAlignment="1">
      <alignment horizontal="center"/>
    </xf>
    <xf numFmtId="0" fontId="1" fillId="0" borderId="0" xfId="13" applyAlignment="1">
      <alignment horizontal="center"/>
    </xf>
    <xf numFmtId="0" fontId="1" fillId="0" borderId="0" xfId="13" quotePrefix="1" applyAlignment="1">
      <alignment horizontal="center"/>
    </xf>
    <xf numFmtId="49" fontId="1" fillId="0" borderId="0" xfId="13" quotePrefix="1" applyNumberFormat="1" applyAlignment="1">
      <alignment horizontal="center"/>
    </xf>
    <xf numFmtId="164" fontId="1" fillId="0" borderId="0" xfId="13" applyNumberFormat="1" applyAlignment="1">
      <alignment horizontal="fill"/>
    </xf>
    <xf numFmtId="7" fontId="1" fillId="0" borderId="0" xfId="13" applyNumberFormat="1" applyAlignment="1">
      <alignment horizontal="fill"/>
    </xf>
    <xf numFmtId="10" fontId="1" fillId="0" borderId="0" xfId="13" applyNumberFormat="1"/>
    <xf numFmtId="5" fontId="1" fillId="0" borderId="0" xfId="13" applyNumberFormat="1"/>
    <xf numFmtId="164" fontId="1" fillId="0" borderId="0" xfId="13" applyNumberFormat="1" applyProtection="1">
      <protection hidden="1"/>
    </xf>
    <xf numFmtId="10" fontId="1" fillId="0" borderId="0" xfId="13" applyNumberFormat="1" applyProtection="1">
      <protection hidden="1"/>
    </xf>
    <xf numFmtId="5" fontId="1" fillId="0" borderId="0" xfId="13" applyNumberFormat="1" applyProtection="1">
      <protection hidden="1"/>
    </xf>
    <xf numFmtId="0" fontId="6" fillId="0" borderId="0" xfId="13" quotePrefix="1" applyFont="1" applyAlignment="1">
      <alignment horizontal="left"/>
    </xf>
    <xf numFmtId="5" fontId="1" fillId="0" borderId="0" xfId="13" quotePrefix="1" applyNumberFormat="1"/>
    <xf numFmtId="7" fontId="1" fillId="0" borderId="0" xfId="13" applyNumberFormat="1"/>
    <xf numFmtId="0" fontId="1" fillId="0" borderId="0" xfId="13" quotePrefix="1" applyAlignment="1">
      <alignment horizontal="left"/>
    </xf>
    <xf numFmtId="7" fontId="1" fillId="0" borderId="0" xfId="17" applyNumberFormat="1"/>
    <xf numFmtId="3" fontId="0" fillId="0" borderId="0" xfId="0" applyNumberFormat="1"/>
    <xf numFmtId="7" fontId="0" fillId="0" borderId="0" xfId="0" applyNumberFormat="1"/>
    <xf numFmtId="0" fontId="1" fillId="0" borderId="0" xfId="1"/>
    <xf numFmtId="164" fontId="0" fillId="0" borderId="0" xfId="0" applyNumberFormat="1"/>
    <xf numFmtId="4" fontId="1" fillId="0" borderId="0" xfId="13" applyNumberFormat="1"/>
    <xf numFmtId="0" fontId="5" fillId="0" borderId="0" xfId="13" applyFont="1" applyAlignment="1">
      <alignment horizontal="center"/>
    </xf>
    <xf numFmtId="0" fontId="5" fillId="0" borderId="0" xfId="13" applyFont="1" applyAlignment="1">
      <alignment horizontal="center"/>
    </xf>
    <xf numFmtId="0" fontId="5" fillId="0" borderId="0" xfId="13" applyFont="1" applyAlignment="1">
      <alignment horizontal="center"/>
    </xf>
    <xf numFmtId="0" fontId="2" fillId="0" borderId="0" xfId="13" applyFont="1" applyAlignment="1">
      <alignment horizontal="center"/>
    </xf>
  </cellXfs>
  <cellStyles count="21">
    <cellStyle name="Comma 2" xfId="2" xr:uid="{00000000-0005-0000-0000-000000000000}"/>
    <cellStyle name="Comma 3" xfId="6" xr:uid="{00000000-0005-0000-0000-000001000000}"/>
    <cellStyle name="Comma 3 2" xfId="14" xr:uid="{00000000-0005-0000-0000-000002000000}"/>
    <cellStyle name="Comma 4" xfId="10" xr:uid="{00000000-0005-0000-0000-000003000000}"/>
    <cellStyle name="Comma 4 2" xfId="18" xr:uid="{00000000-0005-0000-0000-000004000000}"/>
    <cellStyle name="Currency 2" xfId="3" xr:uid="{00000000-0005-0000-0000-000006000000}"/>
    <cellStyle name="Currency 3" xfId="7" xr:uid="{00000000-0005-0000-0000-000007000000}"/>
    <cellStyle name="Currency 3 2" xfId="15" xr:uid="{00000000-0005-0000-0000-000008000000}"/>
    <cellStyle name="Currency 4" xfId="11" xr:uid="{00000000-0005-0000-0000-000009000000}"/>
    <cellStyle name="Currency 4 2" xfId="19" xr:uid="{00000000-0005-0000-0000-00000A000000}"/>
    <cellStyle name="Normal" xfId="0" builtinId="0"/>
    <cellStyle name="Normal 2" xfId="1" xr:uid="{00000000-0005-0000-0000-00000C000000}"/>
    <cellStyle name="Normal 3" xfId="5" xr:uid="{00000000-0005-0000-0000-00000D000000}"/>
    <cellStyle name="Normal 3 2" xfId="13" xr:uid="{00000000-0005-0000-0000-00000E000000}"/>
    <cellStyle name="Normal 4" xfId="9" xr:uid="{00000000-0005-0000-0000-00000F000000}"/>
    <cellStyle name="Normal 4 2" xfId="17" xr:uid="{00000000-0005-0000-0000-000010000000}"/>
    <cellStyle name="Percent 2" xfId="4" xr:uid="{00000000-0005-0000-0000-000011000000}"/>
    <cellStyle name="Percent 3" xfId="8" xr:uid="{00000000-0005-0000-0000-000012000000}"/>
    <cellStyle name="Percent 3 2" xfId="16" xr:uid="{00000000-0005-0000-0000-000013000000}"/>
    <cellStyle name="Percent 4" xfId="12" xr:uid="{00000000-0005-0000-0000-000014000000}"/>
    <cellStyle name="Percent 4 2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Div%20-%20Adm%20Svc\Distribution%20&amp;%20Statistics\Acct%20Tech\Monthly%20Roll\GROSS%20COMP%20FY2026.xlsx" TargetMode="External"/><Relationship Id="rId1" Type="http://schemas.openxmlformats.org/officeDocument/2006/relationships/externalLinkPath" Target="file:///T:\Div%20-%20Adm%20Svc\Distribution%20&amp;%20Statistics\Acct%20Tech\Monthly%20Roll\GROSS%20COMP%20FY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5"/>
      <sheetName val="REV PED 1"/>
      <sheetName val="REV PED 2"/>
      <sheetName val="REV PED 3"/>
      <sheetName val="REV PED 4"/>
      <sheetName val="REV PED 5"/>
      <sheetName val="REV PED 6"/>
      <sheetName val="REV PED 7"/>
      <sheetName val="REV PED 8"/>
      <sheetName val="REV PED 9"/>
      <sheetName val="REV PED 10"/>
      <sheetName val="REV PED 11"/>
      <sheetName val="REV PED 12"/>
      <sheetName val="SUMMARY"/>
    </sheetNames>
    <sheetDataSet>
      <sheetData sheetId="0">
        <row r="7">
          <cell r="C7">
            <v>147467006.28</v>
          </cell>
          <cell r="D7">
            <v>143848832.50999999</v>
          </cell>
          <cell r="E7">
            <v>154695979.81</v>
          </cell>
          <cell r="F7">
            <v>142085145.82999998</v>
          </cell>
          <cell r="G7">
            <v>69663504.780000001</v>
          </cell>
          <cell r="H7">
            <v>162452520.00999999</v>
          </cell>
          <cell r="I7">
            <v>136588343.22</v>
          </cell>
          <cell r="J7">
            <v>140662009.75999999</v>
          </cell>
        </row>
        <row r="8">
          <cell r="C8">
            <v>184510767.44</v>
          </cell>
          <cell r="D8">
            <v>184343985.5</v>
          </cell>
          <cell r="E8">
            <v>188384282.09999999</v>
          </cell>
          <cell r="F8">
            <v>183421668.22999999</v>
          </cell>
          <cell r="G8">
            <v>90569451.030000001</v>
          </cell>
          <cell r="H8">
            <v>211109011.02000001</v>
          </cell>
          <cell r="I8">
            <v>176901568.63</v>
          </cell>
          <cell r="J8">
            <v>176566578.33000001</v>
          </cell>
        </row>
        <row r="9">
          <cell r="C9">
            <v>35454892.960000001</v>
          </cell>
          <cell r="D9">
            <v>35408418.899999999</v>
          </cell>
          <cell r="E9">
            <v>36139761.289999999</v>
          </cell>
          <cell r="F9">
            <v>35270312.839999996</v>
          </cell>
          <cell r="G9">
            <v>17433408.420000002</v>
          </cell>
          <cell r="H9">
            <v>40607487.210000001</v>
          </cell>
          <cell r="I9">
            <v>34019843.439999998</v>
          </cell>
          <cell r="J9">
            <v>33783307.700000003</v>
          </cell>
        </row>
        <row r="10">
          <cell r="C10">
            <v>124070519.86</v>
          </cell>
          <cell r="D10">
            <v>123907984.8</v>
          </cell>
          <cell r="E10">
            <v>126469799.89</v>
          </cell>
          <cell r="F10">
            <v>123442037.23</v>
          </cell>
          <cell r="G10">
            <v>60950824.259999998</v>
          </cell>
          <cell r="H10">
            <v>142086139.62</v>
          </cell>
          <cell r="I10">
            <v>119040623.23</v>
          </cell>
          <cell r="J10">
            <v>118216079.67</v>
          </cell>
        </row>
        <row r="11">
          <cell r="C11">
            <v>97152341.010000005</v>
          </cell>
          <cell r="D11">
            <v>96824506.890000001</v>
          </cell>
          <cell r="E11">
            <v>99717919.719999999</v>
          </cell>
          <cell r="F11">
            <v>96987866.320000112</v>
          </cell>
          <cell r="G11">
            <v>48872351.219999999</v>
          </cell>
          <cell r="H11">
            <v>115418818.34999999</v>
          </cell>
          <cell r="I11">
            <v>93588767.469999999</v>
          </cell>
          <cell r="J11">
            <v>94044441.209999993</v>
          </cell>
        </row>
        <row r="15">
          <cell r="C15">
            <v>0</v>
          </cell>
          <cell r="D15">
            <v>0</v>
          </cell>
          <cell r="E15">
            <v>108059.78</v>
          </cell>
          <cell r="F15">
            <v>0</v>
          </cell>
          <cell r="G15">
            <v>0</v>
          </cell>
          <cell r="H15">
            <v>37691.65</v>
          </cell>
          <cell r="I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E16">
            <v>168880719.26999998</v>
          </cell>
          <cell r="F16">
            <v>0</v>
          </cell>
          <cell r="G16">
            <v>0</v>
          </cell>
          <cell r="H16">
            <v>187295033.43000001</v>
          </cell>
          <cell r="I16">
            <v>0</v>
          </cell>
          <cell r="J16">
            <v>0</v>
          </cell>
        </row>
        <row r="22">
          <cell r="C22">
            <v>10566991.380000001</v>
          </cell>
          <cell r="D22">
            <v>10719135</v>
          </cell>
          <cell r="E22">
            <v>10719159.939999999</v>
          </cell>
          <cell r="F22">
            <v>10189911.380000001</v>
          </cell>
          <cell r="G22">
            <v>5494230</v>
          </cell>
          <cell r="H22">
            <v>13583406.380000001</v>
          </cell>
          <cell r="I22">
            <v>10557612.5</v>
          </cell>
          <cell r="J22">
            <v>8894537.5</v>
          </cell>
        </row>
        <row r="23">
          <cell r="C23">
            <v>2973302.63</v>
          </cell>
          <cell r="D23">
            <v>2642598.69</v>
          </cell>
          <cell r="E23">
            <v>2365461.6800000002</v>
          </cell>
          <cell r="F23">
            <v>1327148.3999999999</v>
          </cell>
          <cell r="G23">
            <v>1345055.94</v>
          </cell>
          <cell r="H23">
            <v>2412406.7599999998</v>
          </cell>
          <cell r="I23">
            <v>2603299.04</v>
          </cell>
          <cell r="J23">
            <v>2873335.61</v>
          </cell>
        </row>
        <row r="24">
          <cell r="C24">
            <v>3899600.8800000004</v>
          </cell>
          <cell r="D24">
            <v>4502829.78</v>
          </cell>
          <cell r="E24">
            <v>4252306.17</v>
          </cell>
          <cell r="F24">
            <v>205449.19000000003</v>
          </cell>
          <cell r="G24">
            <v>16196.91</v>
          </cell>
          <cell r="H24">
            <v>4061089.5</v>
          </cell>
          <cell r="I24">
            <v>7339570.5099999998</v>
          </cell>
          <cell r="J24">
            <v>5002331.49</v>
          </cell>
        </row>
        <row r="25">
          <cell r="C25">
            <v>0</v>
          </cell>
          <cell r="D25">
            <v>0</v>
          </cell>
          <cell r="E25">
            <v>143516423.12</v>
          </cell>
          <cell r="F25">
            <v>0</v>
          </cell>
          <cell r="G25">
            <v>0</v>
          </cell>
          <cell r="H25">
            <v>165315530.86999997</v>
          </cell>
          <cell r="I25">
            <v>0</v>
          </cell>
          <cell r="J25">
            <v>0</v>
          </cell>
        </row>
        <row r="26">
          <cell r="C26">
            <v>221831.05000000002</v>
          </cell>
          <cell r="D26">
            <v>216122.1</v>
          </cell>
          <cell r="E26">
            <v>205416.56999999998</v>
          </cell>
          <cell r="F26">
            <v>43131.409999999996</v>
          </cell>
          <cell r="G26">
            <v>228882.65</v>
          </cell>
          <cell r="H26">
            <v>276496.3</v>
          </cell>
          <cell r="I26">
            <v>145382.17000000001</v>
          </cell>
          <cell r="J26">
            <v>174432.09</v>
          </cell>
        </row>
        <row r="27">
          <cell r="C27">
            <v>0</v>
          </cell>
          <cell r="D27">
            <v>0</v>
          </cell>
          <cell r="E27">
            <v>23999480.170000002</v>
          </cell>
          <cell r="F27">
            <v>0</v>
          </cell>
          <cell r="G27">
            <v>0</v>
          </cell>
          <cell r="H27">
            <v>16493141.32</v>
          </cell>
          <cell r="I27">
            <v>0</v>
          </cell>
          <cell r="J27">
            <v>0</v>
          </cell>
        </row>
        <row r="28">
          <cell r="C28">
            <v>10583023.99</v>
          </cell>
          <cell r="D28">
            <v>6540177.7999999998</v>
          </cell>
          <cell r="E28">
            <v>5081116.63</v>
          </cell>
          <cell r="F28">
            <v>293851.64</v>
          </cell>
          <cell r="G28">
            <v>2490655.16</v>
          </cell>
          <cell r="H28">
            <v>18869974.280000001</v>
          </cell>
          <cell r="I28">
            <v>17554423.050000001</v>
          </cell>
          <cell r="J28">
            <v>9951654.8800000008</v>
          </cell>
        </row>
        <row r="29">
          <cell r="C29">
            <v>0</v>
          </cell>
          <cell r="D29">
            <v>0</v>
          </cell>
          <cell r="E29">
            <v>404005</v>
          </cell>
          <cell r="F29">
            <v>0</v>
          </cell>
          <cell r="G29">
            <v>0</v>
          </cell>
          <cell r="H29">
            <v>530250</v>
          </cell>
          <cell r="I29">
            <v>0</v>
          </cell>
          <cell r="J29">
            <v>0</v>
          </cell>
        </row>
        <row r="30">
          <cell r="C30">
            <v>0</v>
          </cell>
          <cell r="D30">
            <v>0</v>
          </cell>
          <cell r="E30">
            <v>-24277.759999999998</v>
          </cell>
          <cell r="F30">
            <v>0</v>
          </cell>
          <cell r="G30">
            <v>0</v>
          </cell>
          <cell r="H30">
            <v>71535821.079999998</v>
          </cell>
          <cell r="I30">
            <v>0</v>
          </cell>
          <cell r="J30">
            <v>0</v>
          </cell>
        </row>
        <row r="31">
          <cell r="C31">
            <v>0</v>
          </cell>
          <cell r="D31">
            <v>0</v>
          </cell>
          <cell r="E31">
            <v>30561948.210000001</v>
          </cell>
          <cell r="F31">
            <v>0</v>
          </cell>
          <cell r="G31">
            <v>0</v>
          </cell>
          <cell r="H31">
            <v>33317234.969999999</v>
          </cell>
          <cell r="I31">
            <v>0</v>
          </cell>
          <cell r="J31">
            <v>0</v>
          </cell>
        </row>
        <row r="33">
          <cell r="C33">
            <v>2760847.0900000003</v>
          </cell>
          <cell r="D33">
            <v>2523460.91</v>
          </cell>
          <cell r="E33">
            <v>2883142.44</v>
          </cell>
          <cell r="F33">
            <v>3009675.23</v>
          </cell>
          <cell r="G33">
            <v>0</v>
          </cell>
          <cell r="H33">
            <v>6120944.6399999997</v>
          </cell>
          <cell r="I33">
            <v>492270.63</v>
          </cell>
          <cell r="J33">
            <v>3875477.1999999997</v>
          </cell>
        </row>
        <row r="34">
          <cell r="C34">
            <v>18654746.880000003</v>
          </cell>
          <cell r="D34">
            <v>17742155.09</v>
          </cell>
          <cell r="E34">
            <v>20866969.710000001</v>
          </cell>
          <cell r="F34">
            <v>22367161.830000002</v>
          </cell>
          <cell r="G34">
            <v>0</v>
          </cell>
          <cell r="H34">
            <v>20089217.760000002</v>
          </cell>
          <cell r="I34">
            <v>19307068.699999999</v>
          </cell>
          <cell r="J34">
            <v>20901158.560000002</v>
          </cell>
        </row>
        <row r="35">
          <cell r="C35">
            <v>3640199.35</v>
          </cell>
          <cell r="D35">
            <v>3769386.09</v>
          </cell>
          <cell r="E35">
            <v>3767556.72</v>
          </cell>
          <cell r="F35">
            <v>302541.90000000002</v>
          </cell>
          <cell r="G35">
            <v>2868441.23</v>
          </cell>
          <cell r="H35">
            <v>7615502.9400000004</v>
          </cell>
          <cell r="I35">
            <v>4570533.7300000004</v>
          </cell>
          <cell r="J35">
            <v>3301088.49</v>
          </cell>
        </row>
        <row r="36">
          <cell r="C36">
            <v>4535540.74</v>
          </cell>
          <cell r="D36">
            <v>7494698.0800000001</v>
          </cell>
          <cell r="E36">
            <v>3093841.09</v>
          </cell>
          <cell r="F36">
            <v>1873444.57</v>
          </cell>
          <cell r="G36">
            <v>1134136.29</v>
          </cell>
          <cell r="H36">
            <v>1559160.5</v>
          </cell>
          <cell r="I36">
            <v>881977.11</v>
          </cell>
          <cell r="J36">
            <v>1041330.37</v>
          </cell>
        </row>
        <row r="37">
          <cell r="C37">
            <v>6953586.9900000002</v>
          </cell>
          <cell r="D37">
            <v>5355536.3899999997</v>
          </cell>
          <cell r="E37">
            <v>7442281.0300000003</v>
          </cell>
          <cell r="F37">
            <v>1268735.0900000001</v>
          </cell>
          <cell r="G37">
            <v>9543131.8499999996</v>
          </cell>
          <cell r="H37">
            <v>6001103.3799999999</v>
          </cell>
          <cell r="I37">
            <v>6921715.79</v>
          </cell>
          <cell r="J37">
            <v>4736250.62</v>
          </cell>
        </row>
        <row r="38">
          <cell r="C38">
            <v>3034643.29</v>
          </cell>
          <cell r="D38">
            <v>2533902.13</v>
          </cell>
          <cell r="E38">
            <v>3123384.77</v>
          </cell>
          <cell r="F38">
            <v>685136.89</v>
          </cell>
          <cell r="G38">
            <v>4760337.75</v>
          </cell>
          <cell r="H38">
            <v>3034052.85</v>
          </cell>
          <cell r="I38">
            <v>3853190.85</v>
          </cell>
          <cell r="J38">
            <v>2439376.62</v>
          </cell>
        </row>
      </sheetData>
      <sheetData sheetId="1">
        <row r="9">
          <cell r="F9">
            <v>142268858.78</v>
          </cell>
        </row>
        <row r="10">
          <cell r="F10">
            <v>178938139.71000001</v>
          </cell>
        </row>
        <row r="11">
          <cell r="F11">
            <v>34403462.5</v>
          </cell>
        </row>
        <row r="12">
          <cell r="F12">
            <v>120399671.58</v>
          </cell>
        </row>
        <row r="13">
          <cell r="F13">
            <v>94313775.129999995</v>
          </cell>
        </row>
        <row r="25">
          <cell r="B25">
            <v>6634917.5</v>
          </cell>
        </row>
        <row r="26">
          <cell r="B26">
            <v>2825901.87</v>
          </cell>
        </row>
        <row r="27">
          <cell r="B27">
            <v>2733254.0100000002</v>
          </cell>
        </row>
        <row r="28">
          <cell r="B28">
            <v>0</v>
          </cell>
        </row>
        <row r="29">
          <cell r="B29">
            <v>189639.58</v>
          </cell>
        </row>
        <row r="30">
          <cell r="B30">
            <v>0</v>
          </cell>
        </row>
        <row r="31">
          <cell r="B31">
            <v>8534430.620000001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6">
          <cell r="B36">
            <v>3822995.03</v>
          </cell>
        </row>
        <row r="37">
          <cell r="B37">
            <v>28375590.640000001</v>
          </cell>
        </row>
        <row r="38">
          <cell r="B38">
            <v>3622439.87</v>
          </cell>
        </row>
        <row r="39">
          <cell r="B39">
            <v>37278414.640000001</v>
          </cell>
        </row>
        <row r="40">
          <cell r="B40">
            <v>5549278.9199999999</v>
          </cell>
        </row>
        <row r="41">
          <cell r="B41">
            <v>2834688.67</v>
          </cell>
        </row>
      </sheetData>
      <sheetData sheetId="2">
        <row r="9">
          <cell r="B9">
            <v>169261573.91</v>
          </cell>
        </row>
        <row r="10">
          <cell r="B10">
            <v>212266695.69</v>
          </cell>
        </row>
        <row r="11">
          <cell r="B11">
            <v>40561469.420000002</v>
          </cell>
        </row>
        <row r="12">
          <cell r="B12">
            <v>141948101.43000001</v>
          </cell>
        </row>
        <row r="13">
          <cell r="B13">
            <v>110175892.54000001</v>
          </cell>
        </row>
        <row r="25">
          <cell r="B25">
            <v>10126620</v>
          </cell>
        </row>
        <row r="26">
          <cell r="B26">
            <v>2970152.96</v>
          </cell>
        </row>
        <row r="27">
          <cell r="B27">
            <v>8144484.4699999997</v>
          </cell>
        </row>
        <row r="28">
          <cell r="B28">
            <v>0</v>
          </cell>
        </row>
        <row r="29">
          <cell r="B29">
            <v>201584.66999999998</v>
          </cell>
        </row>
        <row r="30">
          <cell r="B30">
            <v>0</v>
          </cell>
        </row>
        <row r="31">
          <cell r="B31">
            <v>9709465.5099999998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6">
          <cell r="B36">
            <v>103611.92</v>
          </cell>
        </row>
        <row r="37">
          <cell r="B37">
            <v>206665.31</v>
          </cell>
        </row>
        <row r="38">
          <cell r="B38">
            <v>3734030.61</v>
          </cell>
        </row>
        <row r="39">
          <cell r="B39">
            <v>33765635.229999997</v>
          </cell>
        </row>
        <row r="40">
          <cell r="B40">
            <v>6169999</v>
          </cell>
        </row>
        <row r="41">
          <cell r="B41">
            <v>3480811.5300000003</v>
          </cell>
        </row>
      </sheetData>
      <sheetData sheetId="3">
        <row r="9">
          <cell r="B9">
            <v>152915226</v>
          </cell>
        </row>
        <row r="10">
          <cell r="B10">
            <v>188514883.13</v>
          </cell>
        </row>
        <row r="11">
          <cell r="B11">
            <v>36198807.229999997</v>
          </cell>
        </row>
        <row r="12">
          <cell r="B12">
            <v>126695004.88</v>
          </cell>
        </row>
        <row r="13">
          <cell r="B13">
            <v>78126758</v>
          </cell>
        </row>
        <row r="17">
          <cell r="F17">
            <v>13605.25</v>
          </cell>
        </row>
        <row r="18">
          <cell r="F18">
            <v>165827964.24000001</v>
          </cell>
        </row>
        <row r="25">
          <cell r="B25">
            <v>1723607.5</v>
          </cell>
        </row>
        <row r="26">
          <cell r="B26">
            <v>3464291.07</v>
          </cell>
        </row>
        <row r="27">
          <cell r="B27">
            <v>4157885.5699999994</v>
          </cell>
        </row>
        <row r="28">
          <cell r="B28">
            <v>158911473.31999999</v>
          </cell>
        </row>
        <row r="29">
          <cell r="B29">
            <v>190257.98</v>
          </cell>
        </row>
        <row r="30">
          <cell r="B30">
            <v>16973893.760000002</v>
          </cell>
        </row>
        <row r="31">
          <cell r="B31">
            <v>11214508.810000001</v>
          </cell>
        </row>
        <row r="32">
          <cell r="B32">
            <v>297500</v>
          </cell>
        </row>
        <row r="33">
          <cell r="B33">
            <v>0</v>
          </cell>
        </row>
        <row r="34">
          <cell r="B34">
            <v>30590861.879999999</v>
          </cell>
        </row>
        <row r="36">
          <cell r="B36">
            <v>2898471.6999999997</v>
          </cell>
        </row>
        <row r="37">
          <cell r="B37">
            <v>17730167.149999999</v>
          </cell>
        </row>
        <row r="38">
          <cell r="B38">
            <v>4093731.4</v>
          </cell>
        </row>
        <row r="39">
          <cell r="B39">
            <v>18856596.440000001</v>
          </cell>
        </row>
        <row r="40">
          <cell r="B40">
            <v>3982597.15</v>
          </cell>
        </row>
        <row r="41">
          <cell r="B41">
            <v>2406653.5099999998</v>
          </cell>
        </row>
      </sheetData>
      <sheetData sheetId="4">
        <row r="9">
          <cell r="B9">
            <v>162142217.77000001</v>
          </cell>
        </row>
        <row r="10">
          <cell r="B10">
            <v>204061418.43000001</v>
          </cell>
        </row>
        <row r="11">
          <cell r="B11">
            <v>38289610.079999998</v>
          </cell>
        </row>
        <row r="12">
          <cell r="B12">
            <v>134095915.63</v>
          </cell>
        </row>
        <row r="13">
          <cell r="B13">
            <v>127432486.41</v>
          </cell>
        </row>
        <row r="25">
          <cell r="B25">
            <v>9049320</v>
          </cell>
        </row>
        <row r="26">
          <cell r="B26">
            <v>2887273.28</v>
          </cell>
        </row>
        <row r="27">
          <cell r="B27">
            <v>4341249.1100000003</v>
          </cell>
        </row>
        <row r="28">
          <cell r="B28"/>
        </row>
        <row r="29">
          <cell r="B29">
            <v>224116.66</v>
          </cell>
        </row>
        <row r="30">
          <cell r="B30"/>
        </row>
        <row r="31">
          <cell r="B31">
            <v>13838296.199999999</v>
          </cell>
        </row>
        <row r="32">
          <cell r="B32"/>
        </row>
        <row r="33">
          <cell r="B33"/>
        </row>
        <row r="34">
          <cell r="B34"/>
        </row>
        <row r="36">
          <cell r="B36">
            <v>5061101.17</v>
          </cell>
        </row>
        <row r="37">
          <cell r="B37">
            <v>38184959.039999999</v>
          </cell>
        </row>
        <row r="38">
          <cell r="B38">
            <v>4049975.23</v>
          </cell>
        </row>
        <row r="39">
          <cell r="B39">
            <v>5189954.8400000008</v>
          </cell>
        </row>
        <row r="40">
          <cell r="B40">
            <v>7905236.1399999997</v>
          </cell>
        </row>
        <row r="41">
          <cell r="B41">
            <v>2914369.39</v>
          </cell>
        </row>
      </sheetData>
      <sheetData sheetId="5">
        <row r="9">
          <cell r="B9">
            <v>149884960.56999999</v>
          </cell>
        </row>
        <row r="10">
          <cell r="B10">
            <v>191512052.38</v>
          </cell>
        </row>
        <row r="11">
          <cell r="B11">
            <v>36597190.109999999</v>
          </cell>
        </row>
        <row r="12">
          <cell r="B12">
            <v>128026215.67</v>
          </cell>
        </row>
        <row r="13">
          <cell r="B13">
            <v>95479373.810000002</v>
          </cell>
        </row>
        <row r="25">
          <cell r="B25">
            <v>9166476.3800000008</v>
          </cell>
        </row>
        <row r="26">
          <cell r="B26">
            <v>2912430.3</v>
          </cell>
        </row>
        <row r="27">
          <cell r="B27">
            <v>3897831.53</v>
          </cell>
        </row>
        <row r="28">
          <cell r="B28"/>
        </row>
        <row r="29">
          <cell r="B29">
            <v>181097.35</v>
          </cell>
        </row>
        <row r="30">
          <cell r="B30"/>
        </row>
        <row r="31">
          <cell r="B31">
            <v>12628959.050000001</v>
          </cell>
        </row>
        <row r="32">
          <cell r="B32"/>
        </row>
        <row r="33">
          <cell r="B33"/>
        </row>
        <row r="34">
          <cell r="B34"/>
        </row>
        <row r="36">
          <cell r="B36">
            <v>449131.52999999997</v>
          </cell>
        </row>
        <row r="37">
          <cell r="B37">
            <v>2320877.35</v>
          </cell>
        </row>
        <row r="38">
          <cell r="B38">
            <v>3201189.85</v>
          </cell>
        </row>
        <row r="39">
          <cell r="B39">
            <v>4320748.5999999996</v>
          </cell>
        </row>
        <row r="40">
          <cell r="B40">
            <v>5886889.6100000003</v>
          </cell>
        </row>
        <row r="41">
          <cell r="B41">
            <v>2899023.51</v>
          </cell>
        </row>
      </sheetData>
      <sheetData sheetId="6">
        <row r="9">
          <cell r="B9">
            <v>193848972.97</v>
          </cell>
        </row>
        <row r="10">
          <cell r="B10">
            <v>237657654.81999999</v>
          </cell>
        </row>
        <row r="11">
          <cell r="B11">
            <v>44946666.350000001</v>
          </cell>
        </row>
        <row r="12">
          <cell r="B12">
            <v>157285980.53999999</v>
          </cell>
        </row>
        <row r="13">
          <cell r="B13">
            <v>126150677.69</v>
          </cell>
        </row>
        <row r="17">
          <cell r="B17">
            <v>52156.28</v>
          </cell>
        </row>
        <row r="18">
          <cell r="B18">
            <v>190920537.68000001</v>
          </cell>
        </row>
        <row r="25">
          <cell r="B25">
            <v>9489666.379999999</v>
          </cell>
        </row>
        <row r="26">
          <cell r="B26">
            <v>6017616.9699999997</v>
          </cell>
        </row>
        <row r="27">
          <cell r="B27">
            <v>4223078.67</v>
          </cell>
        </row>
        <row r="28">
          <cell r="B28">
            <v>171113663.05000001</v>
          </cell>
        </row>
        <row r="29">
          <cell r="B29">
            <v>171435.49</v>
          </cell>
        </row>
        <row r="30">
          <cell r="B30">
            <v>21774839.409999996</v>
          </cell>
        </row>
        <row r="31">
          <cell r="B31">
            <v>6526456.25</v>
          </cell>
        </row>
        <row r="32">
          <cell r="B32">
            <v>464248.75</v>
          </cell>
        </row>
        <row r="33">
          <cell r="B33">
            <v>119356907.73999999</v>
          </cell>
        </row>
        <row r="34">
          <cell r="B34">
            <v>30141781.969999999</v>
          </cell>
        </row>
        <row r="36">
          <cell r="B36">
            <v>2491831.3899999997</v>
          </cell>
        </row>
        <row r="37">
          <cell r="B37">
            <v>18278134.23</v>
          </cell>
        </row>
        <row r="38">
          <cell r="B38">
            <v>3636349.17</v>
          </cell>
        </row>
        <row r="39">
          <cell r="B39">
            <v>3053542.94</v>
          </cell>
        </row>
        <row r="40">
          <cell r="B40">
            <v>4313239.2</v>
          </cell>
        </row>
        <row r="41">
          <cell r="B41">
            <v>2278854.39</v>
          </cell>
        </row>
      </sheetData>
      <sheetData sheetId="7">
        <row r="9">
          <cell r="B9">
            <v>146270567.41</v>
          </cell>
        </row>
        <row r="10">
          <cell r="B10">
            <v>184554514.25999999</v>
          </cell>
        </row>
        <row r="11">
          <cell r="B11">
            <v>34935669.340000004</v>
          </cell>
        </row>
        <row r="12">
          <cell r="B12">
            <v>122264750.09</v>
          </cell>
        </row>
        <row r="13">
          <cell r="B13">
            <v>95895575.069999993</v>
          </cell>
        </row>
        <row r="25">
          <cell r="B25">
            <v>10018890</v>
          </cell>
        </row>
        <row r="26">
          <cell r="B26">
            <v>689330.02</v>
          </cell>
        </row>
        <row r="27">
          <cell r="B27">
            <v>3287873.1</v>
          </cell>
        </row>
        <row r="28">
          <cell r="B28">
            <v>0</v>
          </cell>
        </row>
        <row r="29">
          <cell r="B29">
            <v>161273.04999999999</v>
          </cell>
        </row>
        <row r="30">
          <cell r="B30">
            <v>0</v>
          </cell>
        </row>
        <row r="31">
          <cell r="B31">
            <v>11973303.949999999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6">
          <cell r="B36">
            <v>2365781.9900000002</v>
          </cell>
        </row>
        <row r="37">
          <cell r="B37">
            <v>17598560.829999998</v>
          </cell>
        </row>
        <row r="38">
          <cell r="B38">
            <v>3860212.33</v>
          </cell>
        </row>
        <row r="39">
          <cell r="B39">
            <v>2110613.61</v>
          </cell>
        </row>
        <row r="40">
          <cell r="B40">
            <v>6660211.3899999997</v>
          </cell>
        </row>
        <row r="41">
          <cell r="B41">
            <v>2543493.52</v>
          </cell>
        </row>
      </sheetData>
      <sheetData sheetId="8">
        <row r="9">
          <cell r="B9">
            <v>156033343.53</v>
          </cell>
        </row>
        <row r="10">
          <cell r="B10">
            <v>193743732.28</v>
          </cell>
        </row>
        <row r="11">
          <cell r="B11">
            <v>36060652.719999999</v>
          </cell>
        </row>
        <row r="12">
          <cell r="B12">
            <v>126202600.91</v>
          </cell>
        </row>
        <row r="13">
          <cell r="B13">
            <v>99599362.829999998</v>
          </cell>
        </row>
        <row r="36">
          <cell r="B36">
            <v>2500144.4900000002</v>
          </cell>
        </row>
        <row r="37">
          <cell r="B37">
            <v>21647636.93</v>
          </cell>
        </row>
        <row r="38">
          <cell r="B38">
            <v>2894332.56</v>
          </cell>
        </row>
        <row r="39">
          <cell r="B39">
            <v>3415293.4</v>
          </cell>
        </row>
        <row r="40">
          <cell r="B40">
            <v>5413905.3499999996</v>
          </cell>
        </row>
        <row r="41">
          <cell r="B41">
            <v>2828111.19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8"/>
  <sheetViews>
    <sheetView topLeftCell="A10" workbookViewId="0">
      <selection activeCell="E34" sqref="E34"/>
    </sheetView>
  </sheetViews>
  <sheetFormatPr defaultRowHeight="15" x14ac:dyDescent="0.25"/>
  <cols>
    <col min="1" max="1" width="38.7109375" customWidth="1"/>
    <col min="2" max="2" width="8.85546875" customWidth="1"/>
    <col min="3" max="4" width="14.42578125" bestFit="1" customWidth="1"/>
    <col min="5" max="5" width="16.7109375" customWidth="1"/>
    <col min="6" max="6" width="15" bestFit="1" customWidth="1"/>
    <col min="7" max="7" width="16.7109375" bestFit="1" customWidth="1"/>
    <col min="8" max="8" width="16.5703125" bestFit="1" customWidth="1"/>
    <col min="9" max="9" width="14.5703125" bestFit="1" customWidth="1"/>
    <col min="10" max="10" width="16.140625" bestFit="1" customWidth="1"/>
    <col min="11" max="11" width="15.42578125" bestFit="1" customWidth="1"/>
    <col min="12" max="13" width="14.42578125" bestFit="1" customWidth="1"/>
    <col min="14" max="14" width="15.42578125" bestFit="1" customWidth="1"/>
    <col min="15" max="15" width="17" bestFit="1" customWidth="1"/>
  </cols>
  <sheetData>
    <row r="1" spans="1:18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2" t="s">
        <v>62</v>
      </c>
      <c r="B2" s="2"/>
      <c r="C2" s="3"/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2"/>
      <c r="B3" s="2"/>
      <c r="C3" s="5"/>
      <c r="D3" s="5"/>
      <c r="E3" s="5"/>
      <c r="F3" s="5"/>
      <c r="G3" s="5"/>
      <c r="H3" s="4"/>
      <c r="I3" s="5"/>
      <c r="J3" s="5"/>
      <c r="K3" s="5"/>
      <c r="L3" s="5"/>
      <c r="M3" s="5"/>
      <c r="N3" s="5"/>
      <c r="O3" s="2"/>
      <c r="P3" s="2"/>
      <c r="Q3" s="2"/>
      <c r="R3" s="2"/>
    </row>
    <row r="4" spans="1:18" x14ac:dyDescent="0.25">
      <c r="A4" s="2"/>
      <c r="B4" s="2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2"/>
      <c r="P4" s="2"/>
      <c r="Q4" s="2"/>
      <c r="R4" s="2"/>
    </row>
    <row r="5" spans="1:18" x14ac:dyDescent="0.25">
      <c r="A5" s="2" t="s">
        <v>1</v>
      </c>
      <c r="B5" s="2"/>
      <c r="C5" s="16" t="s">
        <v>50</v>
      </c>
      <c r="D5" s="16" t="s">
        <v>51</v>
      </c>
      <c r="E5" s="16" t="s">
        <v>52</v>
      </c>
      <c r="F5" s="16" t="s">
        <v>53</v>
      </c>
      <c r="G5" s="16" t="s">
        <v>54</v>
      </c>
      <c r="H5" s="16" t="s">
        <v>55</v>
      </c>
      <c r="I5" s="16" t="s">
        <v>56</v>
      </c>
      <c r="J5" s="16" t="s">
        <v>57</v>
      </c>
      <c r="K5" s="16" t="s">
        <v>58</v>
      </c>
      <c r="L5" s="16" t="s">
        <v>59</v>
      </c>
      <c r="M5" s="16" t="s">
        <v>60</v>
      </c>
      <c r="N5" s="16" t="s">
        <v>61</v>
      </c>
      <c r="O5" s="15" t="s">
        <v>2</v>
      </c>
      <c r="P5" s="2"/>
      <c r="Q5" s="2"/>
      <c r="R5" s="2"/>
    </row>
    <row r="6" spans="1:18" x14ac:dyDescent="0.25">
      <c r="A6" s="2" t="s">
        <v>3</v>
      </c>
      <c r="B6" s="2"/>
      <c r="C6" s="6" t="s">
        <v>4</v>
      </c>
      <c r="D6" s="6" t="s">
        <v>4</v>
      </c>
      <c r="E6" s="6" t="s">
        <v>4</v>
      </c>
      <c r="F6" s="6" t="s">
        <v>4</v>
      </c>
      <c r="G6" s="6" t="s">
        <v>4</v>
      </c>
      <c r="H6" s="6" t="s">
        <v>4</v>
      </c>
      <c r="I6" s="7" t="s">
        <v>4</v>
      </c>
      <c r="J6" s="6" t="s">
        <v>4</v>
      </c>
      <c r="K6" s="6" t="s">
        <v>4</v>
      </c>
      <c r="L6" s="7" t="s">
        <v>4</v>
      </c>
      <c r="M6" s="7" t="s">
        <v>4</v>
      </c>
      <c r="N6" s="7" t="s">
        <v>4</v>
      </c>
      <c r="O6" s="2"/>
      <c r="P6" s="2"/>
      <c r="Q6" s="2"/>
      <c r="R6" s="2"/>
    </row>
    <row r="7" spans="1:18" x14ac:dyDescent="0.25">
      <c r="A7" s="2" t="s">
        <v>5</v>
      </c>
      <c r="B7" s="2"/>
      <c r="C7" s="8">
        <v>147467006.28</v>
      </c>
      <c r="D7" s="8">
        <v>143848832.50999999</v>
      </c>
      <c r="E7" s="8">
        <v>154695979.81</v>
      </c>
      <c r="F7" s="8">
        <v>142085145.82999998</v>
      </c>
      <c r="G7" s="8">
        <v>69663504.780000001</v>
      </c>
      <c r="H7" s="8">
        <v>162452520.00999999</v>
      </c>
      <c r="I7" s="9">
        <v>136588343.22</v>
      </c>
      <c r="J7" s="8">
        <v>140662009.75999999</v>
      </c>
      <c r="K7" s="8">
        <v>153362062.40000001</v>
      </c>
      <c r="L7" s="9">
        <v>151427306.34999999</v>
      </c>
      <c r="M7" s="9">
        <v>148334981.27000001</v>
      </c>
      <c r="N7" s="9">
        <v>243866425.90000001</v>
      </c>
      <c r="O7" s="8">
        <v>1794454118.1199999</v>
      </c>
      <c r="P7" s="2"/>
      <c r="Q7" s="2"/>
      <c r="R7" s="2"/>
    </row>
    <row r="8" spans="1:18" x14ac:dyDescent="0.25">
      <c r="A8" s="10" t="s">
        <v>6</v>
      </c>
      <c r="B8" s="2"/>
      <c r="C8" s="8">
        <v>184510767.44</v>
      </c>
      <c r="D8" s="8">
        <v>184343985.5</v>
      </c>
      <c r="E8" s="8">
        <v>188384282.09999999</v>
      </c>
      <c r="F8" s="8">
        <v>183421668.22999999</v>
      </c>
      <c r="G8" s="8">
        <v>90569451.030000001</v>
      </c>
      <c r="H8" s="8">
        <v>211109011.02000001</v>
      </c>
      <c r="I8" s="9">
        <v>176901568.63</v>
      </c>
      <c r="J8" s="8">
        <v>176566578.33000001</v>
      </c>
      <c r="K8" s="8">
        <v>192925015.06</v>
      </c>
      <c r="L8" s="9">
        <v>194738140.53</v>
      </c>
      <c r="M8" s="9">
        <v>193224432.11000001</v>
      </c>
      <c r="N8" s="9">
        <v>278085781.57999998</v>
      </c>
      <c r="O8" s="8">
        <v>2254780681.5599995</v>
      </c>
      <c r="P8" s="2"/>
      <c r="Q8" s="2"/>
      <c r="R8" s="2"/>
    </row>
    <row r="9" spans="1:18" x14ac:dyDescent="0.25">
      <c r="A9" s="2" t="s">
        <v>7</v>
      </c>
      <c r="B9" s="2"/>
      <c r="C9" s="8">
        <v>35454892.960000001</v>
      </c>
      <c r="D9" s="8">
        <v>35408418.899999999</v>
      </c>
      <c r="E9" s="8">
        <v>36139761.289999999</v>
      </c>
      <c r="F9" s="8">
        <v>35270312.839999996</v>
      </c>
      <c r="G9" s="8">
        <v>17433408.420000002</v>
      </c>
      <c r="H9" s="8">
        <v>40607487.210000001</v>
      </c>
      <c r="I9" s="9">
        <v>34019843.439999998</v>
      </c>
      <c r="J9" s="8">
        <v>33783307.700000003</v>
      </c>
      <c r="K9" s="8">
        <v>37237414.710000001</v>
      </c>
      <c r="L9" s="9">
        <v>37234522.630000003</v>
      </c>
      <c r="M9" s="9">
        <v>36739929.5</v>
      </c>
      <c r="N9" s="9">
        <v>55208407.539999999</v>
      </c>
      <c r="O9" s="8">
        <v>434537707.14000005</v>
      </c>
      <c r="P9" s="2"/>
      <c r="Q9" s="2"/>
      <c r="R9" s="2"/>
    </row>
    <row r="10" spans="1:18" x14ac:dyDescent="0.25">
      <c r="A10" s="2" t="s">
        <v>8</v>
      </c>
      <c r="B10" s="2"/>
      <c r="C10" s="8">
        <v>124070519.86</v>
      </c>
      <c r="D10" s="8">
        <v>123907984.8</v>
      </c>
      <c r="E10" s="8">
        <v>126469799.89</v>
      </c>
      <c r="F10" s="8">
        <v>123442037.23</v>
      </c>
      <c r="G10" s="8">
        <v>60950824.259999998</v>
      </c>
      <c r="H10" s="8">
        <v>142086139.62</v>
      </c>
      <c r="I10" s="9">
        <v>119040623.23</v>
      </c>
      <c r="J10" s="8">
        <v>118216079.67</v>
      </c>
      <c r="K10" s="8">
        <v>130305249.31</v>
      </c>
      <c r="L10" s="9">
        <v>130297998.29000001</v>
      </c>
      <c r="M10" s="9">
        <v>128568075.22</v>
      </c>
      <c r="N10" s="9">
        <v>193196841.68000001</v>
      </c>
      <c r="O10" s="8">
        <v>1520552173.0600002</v>
      </c>
      <c r="P10" s="2"/>
      <c r="Q10" s="2"/>
      <c r="R10" s="2"/>
    </row>
    <row r="11" spans="1:18" x14ac:dyDescent="0.25">
      <c r="A11" s="2" t="s">
        <v>9</v>
      </c>
      <c r="B11" s="2"/>
      <c r="C11" s="8">
        <v>97152341.010000005</v>
      </c>
      <c r="D11" s="8">
        <v>96824506.890000001</v>
      </c>
      <c r="E11" s="8">
        <v>99717919.719999999</v>
      </c>
      <c r="F11" s="8">
        <v>96987866.320000112</v>
      </c>
      <c r="G11" s="8">
        <v>48872351.219999999</v>
      </c>
      <c r="H11" s="8">
        <v>115418818.34999999</v>
      </c>
      <c r="I11" s="9">
        <v>93588767.469999999</v>
      </c>
      <c r="J11" s="8">
        <v>94044441.209999993</v>
      </c>
      <c r="K11" s="8">
        <v>104992145.84</v>
      </c>
      <c r="L11" s="9">
        <v>102923180.19</v>
      </c>
      <c r="M11" s="9">
        <v>101183041.17</v>
      </c>
      <c r="N11" s="9">
        <v>163618415.59999999</v>
      </c>
      <c r="O11" s="8">
        <v>1215323794.9900002</v>
      </c>
      <c r="P11" s="2"/>
      <c r="Q11" s="2"/>
      <c r="R11" s="2"/>
    </row>
    <row r="12" spans="1:18" x14ac:dyDescent="0.25">
      <c r="A12" s="2"/>
      <c r="B12" s="2"/>
      <c r="C12" s="6" t="s">
        <v>4</v>
      </c>
      <c r="D12" s="6" t="s">
        <v>4</v>
      </c>
      <c r="E12" s="6" t="s">
        <v>4</v>
      </c>
      <c r="F12" s="6" t="s">
        <v>4</v>
      </c>
      <c r="G12" s="6" t="s">
        <v>4</v>
      </c>
      <c r="H12" s="6" t="s">
        <v>4</v>
      </c>
      <c r="I12" s="7" t="s">
        <v>4</v>
      </c>
      <c r="J12" s="6" t="s">
        <v>4</v>
      </c>
      <c r="K12" s="6" t="s">
        <v>4</v>
      </c>
      <c r="L12" s="7" t="s">
        <v>4</v>
      </c>
      <c r="M12" s="7" t="s">
        <v>4</v>
      </c>
      <c r="N12" s="7" t="s">
        <v>4</v>
      </c>
      <c r="O12" s="8"/>
      <c r="P12" s="2"/>
      <c r="Q12" s="2"/>
      <c r="R12" s="2"/>
    </row>
    <row r="13" spans="1:18" x14ac:dyDescent="0.25">
      <c r="A13" s="2" t="s">
        <v>10</v>
      </c>
      <c r="B13" s="2"/>
      <c r="C13" s="8">
        <v>588655527.55000007</v>
      </c>
      <c r="D13" s="8">
        <v>584333728.60000002</v>
      </c>
      <c r="E13" s="8">
        <v>605407742.80999994</v>
      </c>
      <c r="F13" s="8">
        <v>581207030.45000005</v>
      </c>
      <c r="G13" s="8">
        <v>287489539.71000004</v>
      </c>
      <c r="H13" s="8">
        <v>671673976.20999992</v>
      </c>
      <c r="I13" s="8">
        <v>560139145.99000001</v>
      </c>
      <c r="J13" s="8">
        <v>563272416.67000008</v>
      </c>
      <c r="K13" s="8">
        <v>618821887.32000005</v>
      </c>
      <c r="L13" s="8">
        <v>616621147.99000001</v>
      </c>
      <c r="M13" s="8">
        <v>608050459.26999998</v>
      </c>
      <c r="N13" s="8">
        <v>933975872.30000007</v>
      </c>
      <c r="O13" s="8">
        <v>7219648474.8699999</v>
      </c>
      <c r="P13" s="2"/>
      <c r="Q13" s="2"/>
      <c r="R13" s="2"/>
    </row>
    <row r="14" spans="1:18" x14ac:dyDescent="0.25">
      <c r="A14" s="2"/>
      <c r="B14" s="2"/>
      <c r="C14" s="8"/>
      <c r="D14" s="8"/>
      <c r="E14" s="8"/>
      <c r="F14" s="8"/>
      <c r="G14" s="8"/>
      <c r="H14" s="8"/>
      <c r="I14" s="9"/>
      <c r="J14" s="8"/>
      <c r="K14" s="11"/>
      <c r="L14" s="9"/>
      <c r="M14" s="9"/>
      <c r="N14" s="9"/>
      <c r="O14" s="8"/>
      <c r="P14" s="2"/>
      <c r="Q14" s="2"/>
      <c r="R14" s="2"/>
    </row>
    <row r="15" spans="1:18" x14ac:dyDescent="0.25">
      <c r="A15" s="2" t="s">
        <v>11</v>
      </c>
      <c r="B15" s="2"/>
      <c r="C15" s="8">
        <v>0</v>
      </c>
      <c r="D15" s="8">
        <v>0</v>
      </c>
      <c r="E15" s="8">
        <v>108059.78</v>
      </c>
      <c r="F15" s="8">
        <v>0</v>
      </c>
      <c r="G15" s="8">
        <v>0</v>
      </c>
      <c r="H15" s="8">
        <v>37691.65</v>
      </c>
      <c r="I15" s="9">
        <v>0</v>
      </c>
      <c r="J15" s="8">
        <v>0</v>
      </c>
      <c r="K15" s="8">
        <v>4929.92</v>
      </c>
      <c r="L15" s="9">
        <v>0</v>
      </c>
      <c r="M15" s="9">
        <v>0</v>
      </c>
      <c r="N15" s="9">
        <v>4995</v>
      </c>
      <c r="O15" s="8">
        <v>155676.35</v>
      </c>
      <c r="P15" s="2"/>
      <c r="Q15" s="2"/>
      <c r="R15" s="2"/>
    </row>
    <row r="16" spans="1:18" x14ac:dyDescent="0.25">
      <c r="A16" s="2" t="s">
        <v>12</v>
      </c>
      <c r="B16" s="2"/>
      <c r="C16" s="8">
        <v>0</v>
      </c>
      <c r="D16" s="8">
        <v>0</v>
      </c>
      <c r="E16" s="8">
        <v>168880719.26999998</v>
      </c>
      <c r="F16" s="8">
        <v>0</v>
      </c>
      <c r="G16" s="8">
        <v>0</v>
      </c>
      <c r="H16" s="8">
        <v>187295033.43000001</v>
      </c>
      <c r="I16" s="9">
        <v>0</v>
      </c>
      <c r="J16" s="8">
        <v>0</v>
      </c>
      <c r="K16" s="8">
        <v>221230192.19000003</v>
      </c>
      <c r="L16" s="9">
        <v>0</v>
      </c>
      <c r="M16" s="9">
        <v>0</v>
      </c>
      <c r="N16" s="9">
        <v>204047236.72</v>
      </c>
      <c r="O16" s="8">
        <v>781453181.61000001</v>
      </c>
      <c r="P16" s="8"/>
      <c r="Q16" s="2"/>
      <c r="R16" s="2"/>
    </row>
    <row r="17" spans="1:18" x14ac:dyDescent="0.25">
      <c r="A17" s="2"/>
      <c r="B17" s="2"/>
      <c r="C17" s="6" t="s">
        <v>4</v>
      </c>
      <c r="D17" s="6" t="s">
        <v>4</v>
      </c>
      <c r="E17" s="6" t="s">
        <v>4</v>
      </c>
      <c r="F17" s="6" t="s">
        <v>4</v>
      </c>
      <c r="G17" s="6" t="s">
        <v>4</v>
      </c>
      <c r="H17" s="6" t="s">
        <v>4</v>
      </c>
      <c r="I17" s="7" t="s">
        <v>4</v>
      </c>
      <c r="J17" s="6" t="s">
        <v>4</v>
      </c>
      <c r="K17" s="6" t="s">
        <v>4</v>
      </c>
      <c r="L17" s="7" t="s">
        <v>4</v>
      </c>
      <c r="M17" s="7" t="s">
        <v>4</v>
      </c>
      <c r="N17" s="7" t="s">
        <v>4</v>
      </c>
      <c r="O17" s="8"/>
      <c r="P17" s="2"/>
      <c r="Q17" s="2"/>
      <c r="R17" s="2"/>
    </row>
    <row r="18" spans="1:18" x14ac:dyDescent="0.25">
      <c r="A18" s="2" t="s">
        <v>13</v>
      </c>
      <c r="B18" s="2"/>
      <c r="C18" s="8">
        <v>588655527.55000007</v>
      </c>
      <c r="D18" s="8">
        <v>584333728.60000002</v>
      </c>
      <c r="E18" s="8">
        <v>774396521.8599999</v>
      </c>
      <c r="F18" s="8">
        <v>581207030.45000005</v>
      </c>
      <c r="G18" s="8">
        <v>287489539.71000004</v>
      </c>
      <c r="H18" s="8">
        <v>859006701.28999996</v>
      </c>
      <c r="I18" s="8">
        <v>560139145.99000001</v>
      </c>
      <c r="J18" s="8">
        <v>563272416.67000008</v>
      </c>
      <c r="K18" s="8">
        <v>840057009.43000007</v>
      </c>
      <c r="L18" s="8">
        <v>616621147.99000001</v>
      </c>
      <c r="M18" s="8">
        <v>608050459.26999998</v>
      </c>
      <c r="N18" s="8">
        <v>1138028104.02</v>
      </c>
      <c r="O18" s="8">
        <v>8001257332.8299999</v>
      </c>
      <c r="P18" s="2"/>
      <c r="Q18" s="2"/>
      <c r="R18" s="2"/>
    </row>
    <row r="19" spans="1:18" x14ac:dyDescent="0.25">
      <c r="A19" s="2"/>
      <c r="B19" s="2"/>
      <c r="C19" s="5"/>
      <c r="D19" s="5"/>
      <c r="E19" s="5"/>
      <c r="F19" s="5"/>
      <c r="G19" s="8"/>
      <c r="H19" s="8"/>
      <c r="I19" s="9"/>
      <c r="J19" s="8"/>
      <c r="K19" s="11"/>
      <c r="L19" s="9"/>
      <c r="M19" s="9"/>
      <c r="N19" s="9"/>
      <c r="O19" s="8"/>
      <c r="P19" s="2"/>
      <c r="Q19" s="2"/>
      <c r="R19" s="2"/>
    </row>
    <row r="20" spans="1:18" x14ac:dyDescent="0.25">
      <c r="A20" s="2" t="s">
        <v>14</v>
      </c>
      <c r="B20" s="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8"/>
      <c r="P20" s="2"/>
      <c r="Q20" s="2"/>
      <c r="R20" s="2"/>
    </row>
    <row r="21" spans="1:18" x14ac:dyDescent="0.25">
      <c r="A21" s="2" t="s">
        <v>15</v>
      </c>
      <c r="B21" s="2"/>
      <c r="C21" s="8"/>
      <c r="D21" s="8"/>
      <c r="E21" s="8"/>
      <c r="F21" s="8"/>
      <c r="G21" s="8"/>
      <c r="H21" s="8"/>
      <c r="I21" s="9"/>
      <c r="J21" s="8"/>
      <c r="K21" s="11"/>
      <c r="L21" s="9"/>
      <c r="M21" s="9"/>
      <c r="N21" s="9"/>
      <c r="O21" s="8"/>
      <c r="P21" s="2"/>
      <c r="Q21" s="2"/>
      <c r="R21" s="2"/>
    </row>
    <row r="22" spans="1:18" x14ac:dyDescent="0.25">
      <c r="A22" s="2" t="s">
        <v>16</v>
      </c>
      <c r="B22" s="2"/>
      <c r="C22" s="8">
        <v>10566991.380000001</v>
      </c>
      <c r="D22" s="8">
        <v>10719135</v>
      </c>
      <c r="E22" s="8">
        <v>10719159.939999999</v>
      </c>
      <c r="F22" s="8">
        <v>10189911.380000001</v>
      </c>
      <c r="G22" s="8">
        <v>5494230</v>
      </c>
      <c r="H22" s="8">
        <v>13583406.380000001</v>
      </c>
      <c r="I22" s="9">
        <v>10557612.5</v>
      </c>
      <c r="J22" s="8">
        <v>8894537.5</v>
      </c>
      <c r="K22" s="8">
        <v>8472964.5</v>
      </c>
      <c r="L22" s="9">
        <v>9803430</v>
      </c>
      <c r="M22" s="9">
        <v>9435873.879999999</v>
      </c>
      <c r="N22" s="9">
        <v>18688462.620000001</v>
      </c>
      <c r="O22" s="40">
        <v>127125715.08000001</v>
      </c>
      <c r="P22" s="2"/>
      <c r="Q22" s="2"/>
      <c r="R22" s="2"/>
    </row>
    <row r="23" spans="1:18" x14ac:dyDescent="0.25">
      <c r="A23" s="2" t="s">
        <v>17</v>
      </c>
      <c r="B23" s="2"/>
      <c r="C23" s="8">
        <v>2973302.63</v>
      </c>
      <c r="D23" s="8">
        <v>2642598.69</v>
      </c>
      <c r="E23" s="8">
        <v>2365461.6800000002</v>
      </c>
      <c r="F23" s="8">
        <v>1327148.3999999999</v>
      </c>
      <c r="G23" s="8">
        <v>1345055.94</v>
      </c>
      <c r="H23" s="8">
        <v>2412406.7599999998</v>
      </c>
      <c r="I23" s="9">
        <v>2603299.04</v>
      </c>
      <c r="J23" s="8">
        <v>2873335.61</v>
      </c>
      <c r="K23" s="8">
        <v>5053519.7300000004</v>
      </c>
      <c r="L23" s="9">
        <v>1510387.91</v>
      </c>
      <c r="M23" s="9">
        <v>1381316.6</v>
      </c>
      <c r="N23" s="9">
        <v>2709849.15</v>
      </c>
      <c r="O23" s="8">
        <v>29197682.140000001</v>
      </c>
      <c r="P23" s="2"/>
      <c r="Q23" s="2"/>
      <c r="R23" s="8"/>
    </row>
    <row r="24" spans="1:18" x14ac:dyDescent="0.25">
      <c r="A24" s="2" t="s">
        <v>18</v>
      </c>
      <c r="B24" s="2"/>
      <c r="C24" s="8">
        <v>3899600.8800000004</v>
      </c>
      <c r="D24" s="8">
        <v>4502829.78</v>
      </c>
      <c r="E24" s="8">
        <v>4252306.17</v>
      </c>
      <c r="F24" s="8">
        <v>205449.19000000003</v>
      </c>
      <c r="G24" s="8">
        <v>16196.91</v>
      </c>
      <c r="H24" s="8">
        <v>4061089.5</v>
      </c>
      <c r="I24" s="9">
        <v>7339570.5099999998</v>
      </c>
      <c r="J24" s="8">
        <v>5002331.49</v>
      </c>
      <c r="K24" s="8">
        <v>4399540.82</v>
      </c>
      <c r="L24" s="9">
        <v>7466758.6600000001</v>
      </c>
      <c r="M24" s="9">
        <v>3447786.0500000003</v>
      </c>
      <c r="N24" s="9">
        <v>3593447.8</v>
      </c>
      <c r="O24" s="8">
        <v>48186907.75999999</v>
      </c>
      <c r="P24" s="2"/>
      <c r="Q24" s="2"/>
      <c r="R24" s="8"/>
    </row>
    <row r="25" spans="1:18" x14ac:dyDescent="0.25">
      <c r="A25" s="2" t="s">
        <v>19</v>
      </c>
      <c r="B25" s="2"/>
      <c r="C25" s="8">
        <v>0</v>
      </c>
      <c r="D25" s="8">
        <v>0</v>
      </c>
      <c r="E25" s="8">
        <v>143516423.12</v>
      </c>
      <c r="F25" s="8">
        <v>0</v>
      </c>
      <c r="G25" s="8">
        <v>0</v>
      </c>
      <c r="H25" s="8">
        <v>165315530.86999997</v>
      </c>
      <c r="I25" s="9">
        <v>0</v>
      </c>
      <c r="J25" s="8">
        <v>0</v>
      </c>
      <c r="K25" s="8">
        <v>167593372.56999996</v>
      </c>
      <c r="L25" s="9">
        <v>0</v>
      </c>
      <c r="M25" s="9">
        <v>0</v>
      </c>
      <c r="N25" s="9">
        <v>171076236.81999999</v>
      </c>
      <c r="O25" s="8">
        <v>647501563.37999988</v>
      </c>
      <c r="P25" s="2"/>
      <c r="Q25" s="2"/>
      <c r="R25" s="2"/>
    </row>
    <row r="26" spans="1:18" x14ac:dyDescent="0.25">
      <c r="A26" s="2" t="s">
        <v>20</v>
      </c>
      <c r="B26" s="2"/>
      <c r="C26" s="8">
        <v>221831.05000000002</v>
      </c>
      <c r="D26" s="8">
        <v>216122.1</v>
      </c>
      <c r="E26" s="8">
        <v>205416.56999999998</v>
      </c>
      <c r="F26" s="8">
        <v>43131.409999999996</v>
      </c>
      <c r="G26" s="8">
        <v>228882.65</v>
      </c>
      <c r="H26" s="8">
        <v>276496.3</v>
      </c>
      <c r="I26" s="9">
        <v>145382.17000000001</v>
      </c>
      <c r="J26" s="8">
        <v>174432.09</v>
      </c>
      <c r="K26" s="8">
        <v>251317.35</v>
      </c>
      <c r="L26" s="9">
        <v>181867.38</v>
      </c>
      <c r="M26" s="9">
        <v>186654.94</v>
      </c>
      <c r="N26" s="9">
        <v>194036.92</v>
      </c>
      <c r="O26" s="8">
        <v>2325570.9300000002</v>
      </c>
      <c r="P26" s="2"/>
      <c r="Q26" s="2"/>
      <c r="R26" s="2"/>
    </row>
    <row r="27" spans="1:18" x14ac:dyDescent="0.25">
      <c r="A27" s="2" t="s">
        <v>21</v>
      </c>
      <c r="B27" s="2"/>
      <c r="C27" s="8">
        <v>0</v>
      </c>
      <c r="D27" s="8">
        <v>0</v>
      </c>
      <c r="E27" s="8">
        <v>23999480.170000002</v>
      </c>
      <c r="F27" s="8">
        <v>0</v>
      </c>
      <c r="G27" s="8">
        <v>0</v>
      </c>
      <c r="H27" s="8">
        <v>16493141.32</v>
      </c>
      <c r="I27" s="9">
        <v>0</v>
      </c>
      <c r="J27" s="8">
        <v>0</v>
      </c>
      <c r="K27" s="8">
        <v>25360038.68</v>
      </c>
      <c r="L27" s="9">
        <v>0</v>
      </c>
      <c r="M27" s="9">
        <v>0</v>
      </c>
      <c r="N27" s="9">
        <v>27306931.030000001</v>
      </c>
      <c r="O27" s="8">
        <v>93159591.200000003</v>
      </c>
      <c r="P27" s="2"/>
      <c r="Q27" s="2"/>
      <c r="R27" s="2"/>
    </row>
    <row r="28" spans="1:18" x14ac:dyDescent="0.25">
      <c r="A28" s="2" t="s">
        <v>22</v>
      </c>
      <c r="B28" s="2"/>
      <c r="C28" s="8">
        <v>10583023.99</v>
      </c>
      <c r="D28" s="8">
        <v>6540177.7999999998</v>
      </c>
      <c r="E28" s="8">
        <v>5081116.63</v>
      </c>
      <c r="F28" s="8">
        <v>293851.64</v>
      </c>
      <c r="G28" s="8">
        <v>2490655.16</v>
      </c>
      <c r="H28" s="8">
        <v>18869974.280000001</v>
      </c>
      <c r="I28" s="9">
        <v>17554423.050000001</v>
      </c>
      <c r="J28" s="8">
        <v>9951654.8800000008</v>
      </c>
      <c r="K28" s="8">
        <v>16342360.109999999</v>
      </c>
      <c r="L28" s="9">
        <v>10864910.619999999</v>
      </c>
      <c r="M28" s="9">
        <v>7382794.9100000001</v>
      </c>
      <c r="N28" s="9">
        <v>10207415.779999999</v>
      </c>
      <c r="O28" s="40">
        <v>116162358.84999999</v>
      </c>
      <c r="P28" s="2"/>
      <c r="Q28" s="2"/>
      <c r="R28" s="2"/>
    </row>
    <row r="29" spans="1:18" x14ac:dyDescent="0.25">
      <c r="A29" s="2" t="s">
        <v>23</v>
      </c>
      <c r="B29" s="2"/>
      <c r="C29" s="8">
        <v>0</v>
      </c>
      <c r="D29" s="8">
        <v>0</v>
      </c>
      <c r="E29" s="8">
        <v>404005</v>
      </c>
      <c r="F29" s="8">
        <v>0</v>
      </c>
      <c r="G29" s="8">
        <v>0</v>
      </c>
      <c r="H29" s="8">
        <v>530250</v>
      </c>
      <c r="I29" s="9">
        <v>0</v>
      </c>
      <c r="J29" s="8">
        <v>0</v>
      </c>
      <c r="K29" s="8">
        <v>663678.75</v>
      </c>
      <c r="L29" s="9">
        <v>0</v>
      </c>
      <c r="M29" s="9">
        <v>0</v>
      </c>
      <c r="N29" s="9">
        <v>516372.47999999998</v>
      </c>
      <c r="O29" s="8">
        <v>2114306.23</v>
      </c>
      <c r="P29" s="2"/>
      <c r="Q29" s="2"/>
      <c r="R29" s="2"/>
    </row>
    <row r="30" spans="1:18" x14ac:dyDescent="0.25">
      <c r="A30" s="18" t="s">
        <v>49</v>
      </c>
      <c r="B30" s="2"/>
      <c r="C30" s="8">
        <v>0</v>
      </c>
      <c r="D30" s="8">
        <v>0</v>
      </c>
      <c r="E30" s="8">
        <v>-24277.759999999998</v>
      </c>
      <c r="F30" s="8">
        <v>0</v>
      </c>
      <c r="G30" s="8">
        <v>0</v>
      </c>
      <c r="H30" s="8">
        <v>71535821.079999998</v>
      </c>
      <c r="I30" s="9">
        <v>0</v>
      </c>
      <c r="J30" s="8">
        <v>0</v>
      </c>
      <c r="K30" s="8">
        <v>11995969.57</v>
      </c>
      <c r="L30" s="9">
        <v>0</v>
      </c>
      <c r="M30" s="9">
        <v>0</v>
      </c>
      <c r="N30" s="9">
        <v>5298401.24</v>
      </c>
      <c r="O30" s="8">
        <v>88805914.12999998</v>
      </c>
      <c r="P30" s="2"/>
      <c r="Q30" s="2"/>
      <c r="R30" s="2"/>
    </row>
    <row r="31" spans="1:18" x14ac:dyDescent="0.25">
      <c r="A31" s="2" t="s">
        <v>24</v>
      </c>
      <c r="B31" s="2"/>
      <c r="C31" s="8">
        <v>0</v>
      </c>
      <c r="D31" s="8">
        <v>0</v>
      </c>
      <c r="E31" s="8">
        <v>30561948.210000001</v>
      </c>
      <c r="F31" s="8">
        <v>0</v>
      </c>
      <c r="G31" s="8">
        <v>0</v>
      </c>
      <c r="H31" s="8">
        <v>33317234.969999999</v>
      </c>
      <c r="I31" s="9">
        <v>0</v>
      </c>
      <c r="J31" s="8">
        <v>0</v>
      </c>
      <c r="K31" s="8">
        <v>28617233.870000001</v>
      </c>
      <c r="L31" s="9">
        <v>0</v>
      </c>
      <c r="M31" s="9">
        <v>0</v>
      </c>
      <c r="N31" s="9">
        <v>31288669.109999999</v>
      </c>
      <c r="O31" s="8">
        <v>123785086.16</v>
      </c>
      <c r="P31" s="2"/>
      <c r="Q31" s="2"/>
      <c r="R31" s="2"/>
    </row>
    <row r="32" spans="1:18" x14ac:dyDescent="0.25">
      <c r="A32" s="2" t="s">
        <v>25</v>
      </c>
      <c r="B32" s="12"/>
      <c r="C32" s="8"/>
      <c r="D32" s="8"/>
      <c r="E32" s="8"/>
      <c r="F32" s="8"/>
      <c r="G32" s="8"/>
      <c r="H32" s="8"/>
      <c r="I32" s="9"/>
      <c r="J32" s="8"/>
      <c r="K32" s="8"/>
      <c r="L32" s="9"/>
      <c r="M32" s="9"/>
      <c r="N32" s="19"/>
      <c r="O32" s="8"/>
      <c r="P32" s="2"/>
      <c r="Q32" s="2"/>
      <c r="R32" s="2"/>
    </row>
    <row r="33" spans="1:18" x14ac:dyDescent="0.25">
      <c r="A33" s="10" t="s">
        <v>26</v>
      </c>
      <c r="B33" s="2"/>
      <c r="C33" s="8">
        <v>2760847.0900000003</v>
      </c>
      <c r="D33" s="8">
        <v>2523460.91</v>
      </c>
      <c r="E33" s="8">
        <v>2883142.44</v>
      </c>
      <c r="F33" s="8">
        <v>3009675.23</v>
      </c>
      <c r="G33" s="8">
        <v>0</v>
      </c>
      <c r="H33" s="8">
        <v>6120944.6399999997</v>
      </c>
      <c r="I33" s="9">
        <v>492270.63</v>
      </c>
      <c r="J33" s="8">
        <v>3875477.1999999997</v>
      </c>
      <c r="K33" s="8">
        <v>2386331.69</v>
      </c>
      <c r="L33" s="9">
        <v>2816614.3400000003</v>
      </c>
      <c r="M33" s="9">
        <v>2767160.49</v>
      </c>
      <c r="N33" s="9">
        <v>2910750.98</v>
      </c>
      <c r="O33" s="8">
        <v>32546675.640000001</v>
      </c>
      <c r="P33" s="2"/>
      <c r="Q33" s="2"/>
      <c r="R33" s="2"/>
    </row>
    <row r="34" spans="1:18" x14ac:dyDescent="0.25">
      <c r="A34" s="10" t="s">
        <v>27</v>
      </c>
      <c r="B34" s="8"/>
      <c r="C34" s="8">
        <v>18654746.880000003</v>
      </c>
      <c r="D34" s="8">
        <v>17742155.09</v>
      </c>
      <c r="E34" s="8">
        <v>20866969.710000001</v>
      </c>
      <c r="F34" s="8">
        <v>22367161.830000002</v>
      </c>
      <c r="G34" s="8">
        <v>0</v>
      </c>
      <c r="H34" s="8">
        <v>20089217.760000002</v>
      </c>
      <c r="I34" s="9">
        <v>19307068.699999999</v>
      </c>
      <c r="J34" s="8">
        <v>20901158.560000002</v>
      </c>
      <c r="K34" s="8">
        <v>17609002.140000001</v>
      </c>
      <c r="L34" s="9">
        <v>19950997.529999997</v>
      </c>
      <c r="M34" s="9">
        <v>20672528.989999998</v>
      </c>
      <c r="N34" s="9">
        <v>21582593.02</v>
      </c>
      <c r="O34" s="8">
        <v>219743600.21000001</v>
      </c>
      <c r="P34" s="2"/>
      <c r="Q34" s="2"/>
      <c r="R34" s="2"/>
    </row>
    <row r="35" spans="1:18" x14ac:dyDescent="0.25">
      <c r="A35" s="10" t="s">
        <v>44</v>
      </c>
      <c r="B35" s="8"/>
      <c r="C35" s="8">
        <v>3640199.35</v>
      </c>
      <c r="D35" s="8">
        <v>3769386.09</v>
      </c>
      <c r="E35" s="8">
        <v>3767556.72</v>
      </c>
      <c r="F35" s="8">
        <v>302541.90000000002</v>
      </c>
      <c r="G35" s="8">
        <v>2868441.23</v>
      </c>
      <c r="H35" s="8">
        <v>7615502.9400000004</v>
      </c>
      <c r="I35" s="9">
        <v>4570533.7300000004</v>
      </c>
      <c r="J35" s="8">
        <v>3301088.49</v>
      </c>
      <c r="K35" s="8">
        <v>4052794.2</v>
      </c>
      <c r="L35" s="9">
        <v>3903701.04</v>
      </c>
      <c r="M35" s="9">
        <v>4098555.48</v>
      </c>
      <c r="N35" s="9">
        <v>3544757.77</v>
      </c>
      <c r="O35" s="8">
        <v>45435058.940000005</v>
      </c>
      <c r="P35" s="2"/>
      <c r="Q35" s="2"/>
      <c r="R35" s="2"/>
    </row>
    <row r="36" spans="1:18" x14ac:dyDescent="0.25">
      <c r="A36" s="10" t="s">
        <v>45</v>
      </c>
      <c r="B36" s="8"/>
      <c r="C36" s="8">
        <v>4535540.74</v>
      </c>
      <c r="D36" s="8">
        <v>7494698.0800000001</v>
      </c>
      <c r="E36" s="8">
        <v>3093841.09</v>
      </c>
      <c r="F36" s="8">
        <v>1873444.57</v>
      </c>
      <c r="G36" s="8">
        <v>1134136.29</v>
      </c>
      <c r="H36" s="8">
        <v>1559160.5</v>
      </c>
      <c r="I36" s="9">
        <v>881977.11</v>
      </c>
      <c r="J36" s="8">
        <v>1041330.37</v>
      </c>
      <c r="K36" s="8">
        <v>2081834.31</v>
      </c>
      <c r="L36" s="9">
        <v>2161928.88</v>
      </c>
      <c r="M36" s="9">
        <v>919637.39</v>
      </c>
      <c r="N36" s="9">
        <v>241352628.00999999</v>
      </c>
      <c r="O36" s="40">
        <v>268130157.33999997</v>
      </c>
      <c r="P36" s="2"/>
      <c r="Q36" s="2"/>
      <c r="R36" s="2"/>
    </row>
    <row r="37" spans="1:18" x14ac:dyDescent="0.25">
      <c r="A37" s="18" t="s">
        <v>48</v>
      </c>
      <c r="B37" s="8"/>
      <c r="C37" s="8">
        <v>6953586.9900000002</v>
      </c>
      <c r="D37" s="8">
        <v>5355536.3899999997</v>
      </c>
      <c r="E37" s="8">
        <v>7442281.0300000003</v>
      </c>
      <c r="F37" s="8">
        <v>1268735.0900000001</v>
      </c>
      <c r="G37" s="8">
        <v>9543131.8499999996</v>
      </c>
      <c r="H37" s="8">
        <v>6001103.3799999999</v>
      </c>
      <c r="I37" s="9">
        <v>6921715.79</v>
      </c>
      <c r="J37" s="8">
        <v>4736250.62</v>
      </c>
      <c r="K37" s="8">
        <v>7496186.6900000004</v>
      </c>
      <c r="L37" s="9">
        <v>5804585.6900000004</v>
      </c>
      <c r="M37" s="9">
        <v>6887395.5599999996</v>
      </c>
      <c r="N37" s="9">
        <v>6138964.0999999996</v>
      </c>
      <c r="O37" s="8">
        <v>74549473.180000007</v>
      </c>
      <c r="P37" s="2"/>
      <c r="Q37" s="2"/>
      <c r="R37" s="2"/>
    </row>
    <row r="38" spans="1:18" x14ac:dyDescent="0.25">
      <c r="A38" s="18" t="s">
        <v>47</v>
      </c>
      <c r="B38" s="8"/>
      <c r="C38" s="8">
        <v>3034643.29</v>
      </c>
      <c r="D38" s="8">
        <v>2533902.13</v>
      </c>
      <c r="E38" s="8">
        <v>3123384.77</v>
      </c>
      <c r="F38" s="8">
        <v>685136.89</v>
      </c>
      <c r="G38" s="8">
        <v>4760337.75</v>
      </c>
      <c r="H38" s="8">
        <v>3034052.85</v>
      </c>
      <c r="I38" s="8">
        <v>3853190.85</v>
      </c>
      <c r="J38" s="8">
        <v>2439376.62</v>
      </c>
      <c r="K38" s="8">
        <v>3872780.91</v>
      </c>
      <c r="L38" s="8">
        <v>3020195.81</v>
      </c>
      <c r="M38" s="8">
        <v>4046806.26</v>
      </c>
      <c r="N38" s="8">
        <v>2896426.85</v>
      </c>
      <c r="O38" s="8">
        <v>37300234.979999997</v>
      </c>
      <c r="P38" s="2"/>
      <c r="Q38" s="2"/>
      <c r="R38" s="2"/>
    </row>
    <row r="39" spans="1:18" x14ac:dyDescent="0.25">
      <c r="A39" s="2"/>
      <c r="B39" s="2"/>
      <c r="C39" s="6" t="s">
        <v>4</v>
      </c>
      <c r="D39" s="6" t="s">
        <v>4</v>
      </c>
      <c r="E39" s="6" t="s">
        <v>4</v>
      </c>
      <c r="F39" s="6" t="s">
        <v>4</v>
      </c>
      <c r="G39" s="6" t="s">
        <v>4</v>
      </c>
      <c r="H39" s="6" t="s">
        <v>4</v>
      </c>
      <c r="I39" s="6" t="s">
        <v>4</v>
      </c>
      <c r="J39" s="6" t="s">
        <v>4</v>
      </c>
      <c r="K39" s="6" t="s">
        <v>4</v>
      </c>
      <c r="L39" s="6" t="s">
        <v>4</v>
      </c>
      <c r="M39" s="6" t="s">
        <v>4</v>
      </c>
      <c r="N39" s="6" t="s">
        <v>4</v>
      </c>
      <c r="O39" s="6" t="s">
        <v>4</v>
      </c>
      <c r="P39" s="2"/>
      <c r="Q39" s="2"/>
      <c r="R39" s="2"/>
    </row>
    <row r="40" spans="1:18" x14ac:dyDescent="0.25">
      <c r="A40" s="2" t="s">
        <v>28</v>
      </c>
      <c r="B40" s="2"/>
      <c r="C40" s="8">
        <v>67824314.270000011</v>
      </c>
      <c r="D40" s="8">
        <v>64040002.06000001</v>
      </c>
      <c r="E40" s="8">
        <v>262258215.49000001</v>
      </c>
      <c r="F40" s="8">
        <v>41566187.530000001</v>
      </c>
      <c r="G40" s="8">
        <v>27881067.780000001</v>
      </c>
      <c r="H40" s="8">
        <v>370815333.52999991</v>
      </c>
      <c r="I40" s="8">
        <v>74227044.079999998</v>
      </c>
      <c r="J40" s="8">
        <v>63190973.429999992</v>
      </c>
      <c r="K40" s="8">
        <v>306248925.88999999</v>
      </c>
      <c r="L40" s="8">
        <v>67485377.859999999</v>
      </c>
      <c r="M40" s="8">
        <v>61226510.549999997</v>
      </c>
      <c r="N40" s="8">
        <v>549305943.67999995</v>
      </c>
      <c r="O40" s="8">
        <v>1956069896.1499996</v>
      </c>
      <c r="P40" s="2"/>
      <c r="Q40" s="2"/>
      <c r="R40" s="2"/>
    </row>
    <row r="41" spans="1:18" x14ac:dyDescent="0.25">
      <c r="A41" s="2"/>
      <c r="B41" s="2"/>
      <c r="C41" s="5"/>
      <c r="D41" s="8"/>
      <c r="E41" s="8"/>
      <c r="F41" s="8"/>
      <c r="G41" s="5"/>
      <c r="H41" s="5"/>
      <c r="I41" s="5"/>
      <c r="J41" s="5"/>
      <c r="K41" s="5"/>
      <c r="L41" s="5"/>
      <c r="M41" s="5"/>
      <c r="N41" s="5"/>
      <c r="O41" s="2"/>
      <c r="P41" s="2"/>
      <c r="Q41" s="2"/>
      <c r="R41" s="2"/>
    </row>
    <row r="42" spans="1:18" x14ac:dyDescent="0.25">
      <c r="A42" s="2"/>
      <c r="B42" s="2"/>
      <c r="C42" s="5"/>
      <c r="D42" s="5"/>
      <c r="E42" s="5"/>
      <c r="F42" s="5"/>
      <c r="G42" s="8"/>
      <c r="H42" s="5"/>
      <c r="I42" s="9"/>
      <c r="J42" s="8"/>
      <c r="K42" s="11"/>
      <c r="L42" s="9"/>
      <c r="M42" s="9"/>
      <c r="N42" s="9"/>
      <c r="O42" s="2"/>
      <c r="P42" s="2"/>
      <c r="Q42" s="2"/>
      <c r="R42" s="2"/>
    </row>
    <row r="43" spans="1:18" x14ac:dyDescent="0.25">
      <c r="A43" s="2" t="s">
        <v>29</v>
      </c>
      <c r="B43" s="5"/>
      <c r="C43" s="8"/>
      <c r="D43" s="5"/>
      <c r="E43" s="5"/>
      <c r="F43" s="5"/>
      <c r="G43" s="5"/>
      <c r="H43" s="8"/>
      <c r="I43" s="5"/>
      <c r="J43" s="5"/>
      <c r="K43" s="5"/>
      <c r="L43" s="5"/>
      <c r="M43" s="5"/>
      <c r="N43" s="5"/>
      <c r="O43" s="5"/>
      <c r="P43" s="5"/>
      <c r="Q43" s="2"/>
      <c r="R43" s="2"/>
    </row>
    <row r="44" spans="1:18" x14ac:dyDescent="0.25">
      <c r="A44" s="2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6" spans="1:18" x14ac:dyDescent="0.25">
      <c r="A46" s="13"/>
      <c r="B46" s="5"/>
      <c r="C46" s="5"/>
      <c r="D46" s="8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x14ac:dyDescent="0.25">
      <c r="A47" s="5"/>
      <c r="B47" s="5"/>
      <c r="C47" s="5"/>
      <c r="D47" s="5"/>
      <c r="E47" s="5"/>
      <c r="F47" s="5"/>
      <c r="G47" s="8"/>
      <c r="H47" s="5"/>
      <c r="I47" s="9"/>
      <c r="J47" s="8"/>
      <c r="K47" s="11"/>
      <c r="L47" s="9"/>
      <c r="M47" s="9"/>
      <c r="N47" s="9"/>
      <c r="O47" s="5"/>
      <c r="P47" s="5"/>
      <c r="Q47" s="5"/>
      <c r="R47" s="5"/>
    </row>
    <row r="48" spans="1:18" x14ac:dyDescent="0.25">
      <c r="A48" s="5"/>
      <c r="B48" s="5"/>
      <c r="C48" s="5"/>
      <c r="D48" s="5"/>
      <c r="E48" s="5"/>
      <c r="F48" s="5"/>
      <c r="G48" s="5"/>
      <c r="H48" s="8"/>
      <c r="I48" s="5"/>
      <c r="J48" s="5"/>
      <c r="K48" s="5"/>
      <c r="L48" s="5"/>
      <c r="M48" s="5"/>
      <c r="N48" s="5"/>
      <c r="O48" s="5"/>
      <c r="P48" s="5"/>
      <c r="Q48" s="5"/>
      <c r="R48" s="5"/>
    </row>
  </sheetData>
  <phoneticPr fontId="8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43485-A1E8-443D-9F41-C0F91115DF16}">
  <dimension ref="A1:L53"/>
  <sheetViews>
    <sheetView zoomScale="85" zoomScaleNormal="85" workbookViewId="0">
      <selection sqref="A1:I1"/>
    </sheetView>
  </sheetViews>
  <sheetFormatPr defaultRowHeight="15" x14ac:dyDescent="0.25"/>
  <cols>
    <col min="1" max="1" width="66.140625" bestFit="1" customWidth="1"/>
    <col min="2" max="3" width="17.42578125" bestFit="1" customWidth="1"/>
    <col min="4" max="4" width="14.85546875" bestFit="1" customWidth="1"/>
    <col min="5" max="5" width="12.28515625" bestFit="1" customWidth="1"/>
    <col min="6" max="6" width="15.85546875" customWidth="1"/>
    <col min="7" max="7" width="15.7109375" customWidth="1"/>
    <col min="8" max="8" width="15" bestFit="1" customWidth="1"/>
    <col min="9" max="9" width="10.140625" customWidth="1"/>
    <col min="14" max="14" width="16.28515625" bestFit="1" customWidth="1"/>
  </cols>
  <sheetData>
    <row r="1" spans="1:12" ht="18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6"/>
      <c r="K1" s="23"/>
      <c r="L1" s="23"/>
    </row>
    <row r="2" spans="1:12" x14ac:dyDescent="0.25">
      <c r="A2" s="49" t="s">
        <v>102</v>
      </c>
      <c r="B2" s="49"/>
      <c r="C2" s="49"/>
      <c r="D2" s="49"/>
      <c r="E2" s="49"/>
      <c r="F2" s="49"/>
      <c r="G2" s="49"/>
      <c r="H2" s="49"/>
      <c r="I2" s="49"/>
      <c r="J2" s="26"/>
      <c r="K2" s="23"/>
      <c r="L2" s="23"/>
    </row>
    <row r="3" spans="1:12" x14ac:dyDescent="0.25">
      <c r="A3" s="22"/>
      <c r="B3" s="23"/>
      <c r="C3" s="24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5">
      <c r="A4" s="22"/>
      <c r="B4" s="23"/>
      <c r="C4" s="23"/>
      <c r="D4" s="25" t="s">
        <v>30</v>
      </c>
      <c r="E4" s="23"/>
      <c r="F4" s="26" t="s">
        <v>31</v>
      </c>
      <c r="G4" s="26" t="s">
        <v>32</v>
      </c>
      <c r="H4" s="27" t="s">
        <v>30</v>
      </c>
      <c r="I4" s="23"/>
      <c r="J4" s="23"/>
      <c r="K4" s="23"/>
      <c r="L4" s="23"/>
    </row>
    <row r="5" spans="1:12" x14ac:dyDescent="0.25">
      <c r="A5" s="23"/>
      <c r="B5" s="28" t="s">
        <v>101</v>
      </c>
      <c r="C5" s="25" t="s">
        <v>58</v>
      </c>
      <c r="D5" s="24" t="s">
        <v>33</v>
      </c>
      <c r="E5" s="26" t="s">
        <v>34</v>
      </c>
      <c r="F5" s="26" t="s">
        <v>35</v>
      </c>
      <c r="G5" s="26" t="s">
        <v>35</v>
      </c>
      <c r="H5" s="26" t="s">
        <v>33</v>
      </c>
      <c r="I5" s="26" t="s">
        <v>34</v>
      </c>
      <c r="J5" s="23"/>
      <c r="K5" s="23"/>
      <c r="L5" s="23"/>
    </row>
    <row r="6" spans="1:12" x14ac:dyDescent="0.25">
      <c r="A6" s="23"/>
      <c r="B6" s="29" t="s">
        <v>4</v>
      </c>
      <c r="C6" s="29" t="s">
        <v>4</v>
      </c>
      <c r="D6" s="29" t="s">
        <v>4</v>
      </c>
      <c r="E6" s="30" t="s">
        <v>4</v>
      </c>
      <c r="F6" s="30" t="s">
        <v>4</v>
      </c>
      <c r="G6" s="30" t="s">
        <v>4</v>
      </c>
      <c r="H6" s="30" t="s">
        <v>4</v>
      </c>
      <c r="I6" s="30" t="s">
        <v>4</v>
      </c>
      <c r="J6" s="23"/>
      <c r="K6" s="23"/>
      <c r="L6" s="23"/>
    </row>
    <row r="7" spans="1:12" x14ac:dyDescent="0.25">
      <c r="A7" s="23" t="s">
        <v>100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x14ac:dyDescent="0.25">
      <c r="A8" s="23" t="s">
        <v>36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x14ac:dyDescent="0.25">
      <c r="A9" s="23" t="s">
        <v>5</v>
      </c>
      <c r="B9" s="20">
        <v>179637733.52000001</v>
      </c>
      <c r="C9" s="20">
        <v>153362062.40000001</v>
      </c>
      <c r="D9" s="20">
        <v>26275671.120000005</v>
      </c>
      <c r="E9" s="31">
        <v>0.17133097135501227</v>
      </c>
      <c r="F9" s="32">
        <v>1452263454.46</v>
      </c>
      <c r="G9" s="32">
        <v>1250825404.5999999</v>
      </c>
      <c r="H9" s="32">
        <v>201438049.86000013</v>
      </c>
      <c r="I9" s="31">
        <v>0.16104409865613323</v>
      </c>
      <c r="J9" s="23"/>
      <c r="K9" s="23"/>
      <c r="L9" s="23"/>
    </row>
    <row r="10" spans="1:12" x14ac:dyDescent="0.25">
      <c r="A10" s="23" t="s">
        <v>6</v>
      </c>
      <c r="B10" s="20">
        <v>221918280.47999999</v>
      </c>
      <c r="C10" s="20">
        <v>192925015.06</v>
      </c>
      <c r="D10" s="20">
        <v>28993265.419999987</v>
      </c>
      <c r="E10" s="31">
        <v>0.15028256139300045</v>
      </c>
      <c r="F10" s="32">
        <v>1813167371.1800001</v>
      </c>
      <c r="G10" s="32">
        <v>1588732327.3399997</v>
      </c>
      <c r="H10" s="32">
        <v>224435043.84000039</v>
      </c>
      <c r="I10" s="31">
        <v>0.14126674454706287</v>
      </c>
      <c r="J10" s="23"/>
      <c r="K10" s="23"/>
      <c r="L10" s="23"/>
    </row>
    <row r="11" spans="1:12" x14ac:dyDescent="0.25">
      <c r="A11" s="23" t="s">
        <v>7</v>
      </c>
      <c r="B11" s="20">
        <v>42485189.600000001</v>
      </c>
      <c r="C11" s="20">
        <v>37237414.710000001</v>
      </c>
      <c r="D11" s="20">
        <v>5247774.8900000006</v>
      </c>
      <c r="E11" s="31">
        <v>0.14092747659495078</v>
      </c>
      <c r="F11" s="32">
        <v>344478717.35000002</v>
      </c>
      <c r="G11" s="32">
        <v>305354847.47000003</v>
      </c>
      <c r="H11" s="32">
        <v>39123869.879999995</v>
      </c>
      <c r="I11" s="31">
        <v>0.12812591712284432</v>
      </c>
      <c r="J11" s="23"/>
      <c r="K11" s="23"/>
      <c r="L11" s="23"/>
    </row>
    <row r="12" spans="1:12" x14ac:dyDescent="0.25">
      <c r="A12" s="23" t="s">
        <v>8</v>
      </c>
      <c r="B12" s="20">
        <v>148645680.37</v>
      </c>
      <c r="C12" s="20">
        <v>130305249.31</v>
      </c>
      <c r="D12" s="20">
        <v>18340431.060000002</v>
      </c>
      <c r="E12" s="31">
        <v>0.14074974843390675</v>
      </c>
      <c r="F12" s="32">
        <v>1205563921.0999999</v>
      </c>
      <c r="G12" s="32">
        <v>1068489257.8700001</v>
      </c>
      <c r="H12" s="32">
        <v>137074663.22999978</v>
      </c>
      <c r="I12" s="31">
        <v>0.12828829323305863</v>
      </c>
      <c r="J12" s="23"/>
      <c r="K12" s="23"/>
      <c r="L12" s="23"/>
    </row>
    <row r="13" spans="1:12" x14ac:dyDescent="0.25">
      <c r="A13" s="23" t="s">
        <v>9</v>
      </c>
      <c r="B13" s="20">
        <v>116082716.59999999</v>
      </c>
      <c r="C13" s="20">
        <v>104992145.84</v>
      </c>
      <c r="D13" s="20">
        <v>11090570.75999999</v>
      </c>
      <c r="E13" s="31">
        <v>0.10563238489192489</v>
      </c>
      <c r="F13" s="32">
        <v>943256618.08000016</v>
      </c>
      <c r="G13" s="32">
        <v>847599158.03000021</v>
      </c>
      <c r="H13" s="32">
        <v>95657460.049999952</v>
      </c>
      <c r="I13" s="31">
        <v>0.11285695501671819</v>
      </c>
      <c r="J13" s="23"/>
      <c r="K13" s="23"/>
      <c r="L13" s="23"/>
    </row>
    <row r="14" spans="1:12" x14ac:dyDescent="0.25">
      <c r="A14" s="23"/>
      <c r="B14" s="29" t="s">
        <v>4</v>
      </c>
      <c r="C14" s="29" t="s">
        <v>4</v>
      </c>
      <c r="D14" s="29" t="s">
        <v>4</v>
      </c>
      <c r="E14" s="30" t="s">
        <v>4</v>
      </c>
      <c r="F14" s="30" t="s">
        <v>4</v>
      </c>
      <c r="G14" s="30" t="s">
        <v>4</v>
      </c>
      <c r="H14" s="30" t="s">
        <v>4</v>
      </c>
      <c r="I14" s="30" t="s">
        <v>4</v>
      </c>
      <c r="J14" s="23"/>
      <c r="K14" s="23"/>
      <c r="L14" s="23"/>
    </row>
    <row r="15" spans="1:12" x14ac:dyDescent="0.25">
      <c r="A15" s="23" t="s">
        <v>10</v>
      </c>
      <c r="B15" s="33">
        <v>708769600.57000005</v>
      </c>
      <c r="C15" s="33">
        <v>618821887.32000005</v>
      </c>
      <c r="D15" s="33">
        <v>89947713.249999985</v>
      </c>
      <c r="E15" s="34">
        <v>0.14535315426470519</v>
      </c>
      <c r="F15" s="35">
        <v>5758730082.1700001</v>
      </c>
      <c r="G15" s="35">
        <v>5061000995.3099995</v>
      </c>
      <c r="H15" s="35">
        <v>697729086.86000025</v>
      </c>
      <c r="I15" s="34">
        <v>0.13786385094699286</v>
      </c>
      <c r="J15" s="18"/>
      <c r="K15" s="23"/>
      <c r="L15" s="23"/>
    </row>
    <row r="16" spans="1:12" x14ac:dyDescent="0.25">
      <c r="A16" s="23"/>
      <c r="B16" s="20"/>
      <c r="C16" s="20"/>
      <c r="D16" s="23"/>
      <c r="E16" s="31"/>
      <c r="F16" s="23"/>
      <c r="G16" s="23"/>
      <c r="H16" s="23"/>
      <c r="I16" s="23"/>
      <c r="J16" s="23"/>
      <c r="K16" s="23"/>
      <c r="L16" s="23"/>
    </row>
    <row r="17" spans="1:12" x14ac:dyDescent="0.25">
      <c r="A17" s="23" t="s">
        <v>11</v>
      </c>
      <c r="B17" s="20">
        <v>4128.45</v>
      </c>
      <c r="C17" s="20">
        <v>4929.92</v>
      </c>
      <c r="D17" s="20">
        <v>-801.47000000000025</v>
      </c>
      <c r="E17" s="31">
        <v>-0.16257261781124241</v>
      </c>
      <c r="F17" s="32">
        <v>69889.98</v>
      </c>
      <c r="G17" s="32">
        <v>150681.35</v>
      </c>
      <c r="H17" s="32">
        <v>-80791.37000000001</v>
      </c>
      <c r="I17" s="31">
        <v>-0.5361736538728914</v>
      </c>
      <c r="J17" s="23"/>
      <c r="K17" s="23"/>
      <c r="L17" s="23"/>
    </row>
    <row r="18" spans="1:12" x14ac:dyDescent="0.25">
      <c r="A18" s="23" t="s">
        <v>12</v>
      </c>
      <c r="B18" s="20">
        <v>232456584.78999999</v>
      </c>
      <c r="C18" s="20">
        <v>221230192.19000003</v>
      </c>
      <c r="D18" s="20">
        <v>11226392.599999964</v>
      </c>
      <c r="E18" s="31">
        <v>5.0745300579761538E-2</v>
      </c>
      <c r="F18" s="32">
        <v>589205086.71000004</v>
      </c>
      <c r="G18" s="32">
        <v>577405944.88999999</v>
      </c>
      <c r="H18" s="32">
        <v>11799141.820000052</v>
      </c>
      <c r="I18" s="31">
        <v>2.0434742531526714E-2</v>
      </c>
      <c r="J18" s="23"/>
      <c r="K18" s="23"/>
      <c r="L18" s="23"/>
    </row>
    <row r="19" spans="1:12" x14ac:dyDescent="0.25">
      <c r="A19" s="23"/>
      <c r="B19" s="29" t="s">
        <v>4</v>
      </c>
      <c r="C19" s="29" t="s">
        <v>4</v>
      </c>
      <c r="D19" s="29" t="s">
        <v>4</v>
      </c>
      <c r="E19" s="30" t="s">
        <v>4</v>
      </c>
      <c r="F19" s="30" t="s">
        <v>4</v>
      </c>
      <c r="G19" s="30" t="s">
        <v>4</v>
      </c>
      <c r="H19" s="30" t="s">
        <v>4</v>
      </c>
      <c r="I19" s="30" t="s">
        <v>4</v>
      </c>
      <c r="J19" s="23"/>
      <c r="K19" s="23"/>
      <c r="L19" s="23"/>
    </row>
    <row r="20" spans="1:12" x14ac:dyDescent="0.25">
      <c r="A20" s="23" t="s">
        <v>13</v>
      </c>
      <c r="B20" s="20">
        <v>941230313.81000006</v>
      </c>
      <c r="C20" s="20">
        <v>840057009.43000007</v>
      </c>
      <c r="D20" s="20">
        <v>101173304.37999995</v>
      </c>
      <c r="E20" s="31">
        <v>0.12043623616526763</v>
      </c>
      <c r="F20" s="20">
        <v>6348005058.8599997</v>
      </c>
      <c r="G20" s="20">
        <v>5638557621.5500002</v>
      </c>
      <c r="H20" s="20">
        <v>709447437.3100003</v>
      </c>
      <c r="I20" s="31">
        <v>0.12582073021628148</v>
      </c>
      <c r="J20" s="23"/>
      <c r="K20" s="23"/>
      <c r="L20" s="23"/>
    </row>
    <row r="21" spans="1:12" x14ac:dyDescent="0.25">
      <c r="A21" s="23"/>
      <c r="B21" s="20"/>
      <c r="C21" s="20"/>
      <c r="D21" s="20"/>
      <c r="E21" s="31"/>
      <c r="F21" s="32"/>
      <c r="G21" s="32"/>
      <c r="H21" s="32"/>
      <c r="I21" s="31"/>
      <c r="J21" s="23"/>
      <c r="K21" s="23"/>
      <c r="L21" s="23"/>
    </row>
    <row r="22" spans="1:12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x14ac:dyDescent="0.25">
      <c r="A23" s="23" t="s">
        <v>99</v>
      </c>
      <c r="B23" s="20"/>
      <c r="C23" s="20"/>
      <c r="D23" s="20"/>
      <c r="E23" s="31"/>
      <c r="F23" s="32"/>
      <c r="G23" s="32"/>
      <c r="H23" s="32"/>
      <c r="I23" s="31"/>
      <c r="J23" s="23"/>
      <c r="K23" s="23"/>
      <c r="L23" s="23"/>
    </row>
    <row r="24" spans="1:12" x14ac:dyDescent="0.25">
      <c r="A24" s="23" t="s">
        <v>37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x14ac:dyDescent="0.25">
      <c r="A25" s="23" t="s">
        <v>16</v>
      </c>
      <c r="B25" s="20">
        <v>8564535</v>
      </c>
      <c r="C25" s="20">
        <v>8472964.5</v>
      </c>
      <c r="D25" s="20">
        <v>91570.5</v>
      </c>
      <c r="E25" s="31">
        <v>1.0807374443738081E-2</v>
      </c>
      <c r="F25" s="32">
        <v>73931220.800000012</v>
      </c>
      <c r="G25" s="32">
        <v>89197948.580000013</v>
      </c>
      <c r="H25" s="32">
        <v>-15266727.780000001</v>
      </c>
      <c r="I25" s="31">
        <v>-0.17115559295971422</v>
      </c>
      <c r="J25" s="23"/>
      <c r="K25" s="23"/>
      <c r="L25" s="23"/>
    </row>
    <row r="26" spans="1:12" x14ac:dyDescent="0.25">
      <c r="A26" s="23" t="s">
        <v>17</v>
      </c>
      <c r="B26" s="20">
        <v>3454625.43</v>
      </c>
      <c r="C26" s="20">
        <v>5053519.7300000004</v>
      </c>
      <c r="D26" s="20">
        <v>-1598894.3000000003</v>
      </c>
      <c r="E26" s="31">
        <v>-0.31639221481777019</v>
      </c>
      <c r="F26" s="32">
        <v>29978189.07</v>
      </c>
      <c r="G26" s="32">
        <v>23596128.48</v>
      </c>
      <c r="H26" s="32">
        <v>6382060.5899999999</v>
      </c>
      <c r="I26" s="31">
        <v>0.27047066621159538</v>
      </c>
      <c r="J26" s="23"/>
      <c r="K26" s="23"/>
      <c r="L26" s="23"/>
    </row>
    <row r="27" spans="1:12" x14ac:dyDescent="0.25">
      <c r="A27" s="23" t="s">
        <v>18</v>
      </c>
      <c r="B27" s="20">
        <v>4484995.07</v>
      </c>
      <c r="C27" s="20">
        <v>4399540.82</v>
      </c>
      <c r="D27" s="20">
        <v>85454.25</v>
      </c>
      <c r="E27" s="31">
        <v>1.9423447467865521E-2</v>
      </c>
      <c r="F27" s="32">
        <v>39026979.950000003</v>
      </c>
      <c r="G27" s="32">
        <v>33678915.25</v>
      </c>
      <c r="H27" s="32">
        <v>5348064.700000003</v>
      </c>
      <c r="I27" s="31">
        <v>0.15879563401318286</v>
      </c>
      <c r="J27" s="23"/>
      <c r="K27" s="23"/>
      <c r="L27" s="23"/>
    </row>
    <row r="28" spans="1:12" x14ac:dyDescent="0.25">
      <c r="A28" s="23" t="s">
        <v>98</v>
      </c>
      <c r="B28" s="20">
        <v>175137126.03</v>
      </c>
      <c r="C28" s="20">
        <v>167593372.56999996</v>
      </c>
      <c r="D28" s="20">
        <v>7543753.4600000381</v>
      </c>
      <c r="E28" s="31">
        <v>4.5012242097158005E-2</v>
      </c>
      <c r="F28" s="32">
        <v>505162262.39999998</v>
      </c>
      <c r="G28" s="32">
        <v>476425326.55999994</v>
      </c>
      <c r="H28" s="32">
        <v>28736935.840000033</v>
      </c>
      <c r="I28" s="31">
        <v>6.0317817374431641E-2</v>
      </c>
      <c r="J28" s="23"/>
      <c r="K28" s="23"/>
      <c r="L28" s="23"/>
    </row>
    <row r="29" spans="1:12" x14ac:dyDescent="0.25">
      <c r="A29" s="23" t="s">
        <v>20</v>
      </c>
      <c r="B29" s="20">
        <v>185045.61</v>
      </c>
      <c r="C29" s="20">
        <v>251317.35</v>
      </c>
      <c r="D29" s="20">
        <v>-66271.74000000002</v>
      </c>
      <c r="E29" s="31">
        <v>-0.26369743274787838</v>
      </c>
      <c r="F29" s="32">
        <v>1670001.6400000001</v>
      </c>
      <c r="G29" s="32">
        <v>1763011.6900000002</v>
      </c>
      <c r="H29" s="32">
        <v>-93010.050000000047</v>
      </c>
      <c r="I29" s="31">
        <v>-5.2756343322941913E-2</v>
      </c>
      <c r="J29" s="23"/>
      <c r="K29" s="23"/>
      <c r="L29" s="23"/>
    </row>
    <row r="30" spans="1:12" x14ac:dyDescent="0.25">
      <c r="A30" s="23" t="s">
        <v>38</v>
      </c>
      <c r="B30" s="20">
        <v>29210758.219999999</v>
      </c>
      <c r="C30" s="20">
        <v>25360038.68</v>
      </c>
      <c r="D30" s="20">
        <v>3850719.5399999991</v>
      </c>
      <c r="E30" s="31">
        <v>0.15184202155956644</v>
      </c>
      <c r="F30" s="32">
        <v>67959491.390000001</v>
      </c>
      <c r="G30" s="32">
        <v>65852660.170000002</v>
      </c>
      <c r="H30" s="32">
        <v>2106831.2199999988</v>
      </c>
      <c r="I30" s="31">
        <v>3.1993107257340413E-2</v>
      </c>
      <c r="J30" s="23"/>
      <c r="K30" s="23"/>
      <c r="L30" s="23"/>
    </row>
    <row r="31" spans="1:12" x14ac:dyDescent="0.25">
      <c r="A31" s="23" t="s">
        <v>22</v>
      </c>
      <c r="B31" s="20">
        <v>16664088.380000001</v>
      </c>
      <c r="C31" s="20">
        <v>16342360.109999999</v>
      </c>
      <c r="D31" s="20">
        <v>321728.27000000142</v>
      </c>
      <c r="E31" s="31">
        <v>1.968676909788163E-2</v>
      </c>
      <c r="F31" s="32">
        <v>98959549.209999993</v>
      </c>
      <c r="G31" s="32">
        <v>87707237.539999992</v>
      </c>
      <c r="H31" s="32">
        <v>11252311.670000002</v>
      </c>
      <c r="I31" s="31">
        <v>0.1282939924412537</v>
      </c>
      <c r="J31" s="23"/>
      <c r="K31" s="23"/>
      <c r="L31" s="23"/>
    </row>
    <row r="32" spans="1:12" x14ac:dyDescent="0.25">
      <c r="A32" s="23" t="s">
        <v>23</v>
      </c>
      <c r="B32" s="20">
        <v>572250</v>
      </c>
      <c r="C32" s="20">
        <v>663678.75</v>
      </c>
      <c r="D32" s="20">
        <v>-91428.75</v>
      </c>
      <c r="E32" s="31">
        <v>-0.13776055056757505</v>
      </c>
      <c r="F32" s="32">
        <v>1333998.75</v>
      </c>
      <c r="G32" s="32">
        <v>1597933.75</v>
      </c>
      <c r="H32" s="32">
        <v>-263935</v>
      </c>
      <c r="I32" s="31">
        <v>-0.16517268003132171</v>
      </c>
      <c r="J32" s="23"/>
      <c r="K32" s="23"/>
      <c r="L32" s="23"/>
    </row>
    <row r="33" spans="1:12" x14ac:dyDescent="0.25">
      <c r="A33" s="23" t="s">
        <v>49</v>
      </c>
      <c r="B33" s="20">
        <v>0</v>
      </c>
      <c r="C33" s="20">
        <v>11995969.57</v>
      </c>
      <c r="D33" s="20">
        <v>-11995969.57</v>
      </c>
      <c r="E33" s="31">
        <v>-1</v>
      </c>
      <c r="F33" s="32">
        <v>119356907.73999999</v>
      </c>
      <c r="G33" s="32">
        <v>83507512.889999986</v>
      </c>
      <c r="H33" s="32">
        <v>35849394.850000009</v>
      </c>
      <c r="I33" s="31">
        <v>0.4292954443179563</v>
      </c>
      <c r="J33" s="23"/>
      <c r="K33" s="23"/>
      <c r="L33" s="23"/>
    </row>
    <row r="34" spans="1:12" x14ac:dyDescent="0.25">
      <c r="A34" s="23" t="s">
        <v>24</v>
      </c>
      <c r="B34" s="20">
        <v>27761285.27</v>
      </c>
      <c r="C34" s="20">
        <v>28617233.870000001</v>
      </c>
      <c r="D34" s="20">
        <v>-855948.60000000149</v>
      </c>
      <c r="E34" s="31">
        <v>-2.9910249323478778E-2</v>
      </c>
      <c r="F34" s="32">
        <v>88493929.11999999</v>
      </c>
      <c r="G34" s="32">
        <v>92496417.049999997</v>
      </c>
      <c r="H34" s="32">
        <v>-4002487.9300000072</v>
      </c>
      <c r="I34" s="31">
        <v>-4.3271815900030125E-2</v>
      </c>
      <c r="J34" s="23"/>
      <c r="K34" s="23"/>
      <c r="L34" s="23"/>
    </row>
    <row r="35" spans="1:12" x14ac:dyDescent="0.25">
      <c r="A35" s="23" t="s">
        <v>25</v>
      </c>
      <c r="B35" s="21" t="s">
        <v>97</v>
      </c>
      <c r="C35" s="21" t="s">
        <v>97</v>
      </c>
      <c r="D35" s="21" t="s">
        <v>43</v>
      </c>
      <c r="E35" s="21" t="s">
        <v>42</v>
      </c>
      <c r="F35" s="21" t="s">
        <v>41</v>
      </c>
      <c r="G35" s="37" t="s">
        <v>96</v>
      </c>
      <c r="H35" s="21" t="s">
        <v>40</v>
      </c>
      <c r="I35" s="21" t="s">
        <v>39</v>
      </c>
      <c r="J35" s="23"/>
      <c r="K35" s="23"/>
      <c r="L35" s="23"/>
    </row>
    <row r="36" spans="1:12" x14ac:dyDescent="0.25">
      <c r="A36" s="23" t="s">
        <v>26</v>
      </c>
      <c r="B36" s="20">
        <v>2058096.6399999999</v>
      </c>
      <c r="C36" s="20">
        <v>2386331.69</v>
      </c>
      <c r="D36" s="20">
        <v>-328235.05000000005</v>
      </c>
      <c r="E36" s="31">
        <v>-0.13754795755153384</v>
      </c>
      <c r="F36" s="32">
        <v>21751165.859999999</v>
      </c>
      <c r="G36" s="32">
        <v>24052149.829999998</v>
      </c>
      <c r="H36" s="32">
        <v>-2300983.9699999988</v>
      </c>
      <c r="I36" s="31">
        <v>-9.5666457520982393E-2</v>
      </c>
      <c r="J36" s="23"/>
      <c r="K36" s="23"/>
      <c r="L36" s="23"/>
    </row>
    <row r="37" spans="1:12" x14ac:dyDescent="0.25">
      <c r="A37" s="23" t="s">
        <v>27</v>
      </c>
      <c r="B37" s="20">
        <v>16591872.310000001</v>
      </c>
      <c r="C37" s="20">
        <v>17609002.140000001</v>
      </c>
      <c r="D37" s="20">
        <v>-1017129.8300000001</v>
      </c>
      <c r="E37" s="31">
        <v>-5.7761923243198607E-2</v>
      </c>
      <c r="F37" s="32">
        <v>160934463.78999999</v>
      </c>
      <c r="G37" s="32">
        <v>157537480.67000002</v>
      </c>
      <c r="H37" s="32">
        <v>3396983.119999975</v>
      </c>
      <c r="I37" s="31">
        <v>2.1563015388799886E-2</v>
      </c>
      <c r="J37" s="23"/>
      <c r="K37" s="23"/>
      <c r="L37" s="23"/>
    </row>
    <row r="38" spans="1:12" x14ac:dyDescent="0.25">
      <c r="A38" s="23" t="s">
        <v>44</v>
      </c>
      <c r="B38" s="20">
        <v>4862785.5</v>
      </c>
      <c r="C38" s="20">
        <v>4052794.2</v>
      </c>
      <c r="D38" s="20">
        <v>809991.29999999981</v>
      </c>
      <c r="E38" s="31">
        <v>0.19985996328162919</v>
      </c>
      <c r="F38" s="32">
        <v>33955046.519999996</v>
      </c>
      <c r="G38" s="32">
        <v>33888044.650000006</v>
      </c>
      <c r="H38" s="32">
        <v>67001.869999989867</v>
      </c>
      <c r="I38" s="31">
        <v>1.9771536154414814E-3</v>
      </c>
      <c r="J38" s="23"/>
      <c r="K38" s="23"/>
      <c r="L38" s="23"/>
    </row>
    <row r="39" spans="1:12" x14ac:dyDescent="0.25">
      <c r="A39" s="23" t="s">
        <v>45</v>
      </c>
      <c r="B39" s="20">
        <v>2159428.5499999998</v>
      </c>
      <c r="C39" s="20">
        <v>2081834.31</v>
      </c>
      <c r="D39" s="20">
        <v>77594.239999999758</v>
      </c>
      <c r="E39" s="31">
        <v>3.727205360545708E-2</v>
      </c>
      <c r="F39" s="32">
        <v>110150228.25</v>
      </c>
      <c r="G39" s="32">
        <v>23695963.059999999</v>
      </c>
      <c r="H39" s="32">
        <v>86454265.189999998</v>
      </c>
      <c r="I39" s="31">
        <v>3.6484807547636344</v>
      </c>
      <c r="J39" s="23"/>
      <c r="K39" s="23"/>
      <c r="L39" s="23"/>
    </row>
    <row r="40" spans="1:12" x14ac:dyDescent="0.25">
      <c r="A40" s="23" t="s">
        <v>46</v>
      </c>
      <c r="B40" s="20">
        <v>6447161.2599999998</v>
      </c>
      <c r="C40" s="20">
        <v>7496186.6900000004</v>
      </c>
      <c r="D40" s="20">
        <v>-1049025.4300000006</v>
      </c>
      <c r="E40" s="31">
        <v>-0.13994120922834175</v>
      </c>
      <c r="F40" s="32">
        <v>52328518.020000003</v>
      </c>
      <c r="G40" s="32">
        <v>55718527.829999998</v>
      </c>
      <c r="H40" s="32">
        <v>-3390009.8099999949</v>
      </c>
      <c r="I40" s="31">
        <v>-6.0841697403475621E-2</v>
      </c>
      <c r="J40" s="23"/>
      <c r="K40" s="23"/>
      <c r="L40" s="23"/>
    </row>
    <row r="41" spans="1:12" x14ac:dyDescent="0.25">
      <c r="A41" s="23" t="s">
        <v>47</v>
      </c>
      <c r="B41" s="20">
        <v>2847041.8499999996</v>
      </c>
      <c r="C41" s="20">
        <v>3872780.91</v>
      </c>
      <c r="D41" s="20">
        <v>-1025739.0600000005</v>
      </c>
      <c r="E41" s="31">
        <v>-0.26485853030090473</v>
      </c>
      <c r="F41" s="32">
        <v>25033047.560000002</v>
      </c>
      <c r="G41" s="32">
        <v>27336806.060000002</v>
      </c>
      <c r="H41" s="32">
        <v>-2303758.5</v>
      </c>
      <c r="I41" s="31">
        <v>-8.4273140576247699E-2</v>
      </c>
      <c r="J41" s="23"/>
      <c r="K41" s="23"/>
      <c r="L41" s="23"/>
    </row>
    <row r="42" spans="1:12" x14ac:dyDescent="0.25">
      <c r="A42" s="23"/>
      <c r="B42" s="20"/>
      <c r="C42" s="23"/>
      <c r="D42" s="20"/>
      <c r="E42" s="31"/>
      <c r="F42" s="32"/>
      <c r="G42" s="32"/>
      <c r="H42" s="32"/>
      <c r="I42" s="31"/>
      <c r="J42" s="23"/>
      <c r="K42" s="23"/>
      <c r="L42" s="23"/>
    </row>
    <row r="43" spans="1:12" x14ac:dyDescent="0.25">
      <c r="A43" s="18" t="s">
        <v>28</v>
      </c>
      <c r="B43" s="29" t="s">
        <v>4</v>
      </c>
      <c r="C43" s="29" t="s">
        <v>4</v>
      </c>
      <c r="D43" s="29" t="s">
        <v>4</v>
      </c>
      <c r="E43" s="30" t="s">
        <v>4</v>
      </c>
      <c r="F43" s="30" t="s">
        <v>4</v>
      </c>
      <c r="G43" s="30" t="s">
        <v>4</v>
      </c>
      <c r="H43" s="30" t="s">
        <v>4</v>
      </c>
      <c r="I43" s="30" t="s">
        <v>4</v>
      </c>
      <c r="J43" s="23"/>
      <c r="K43" s="23"/>
      <c r="L43" s="23"/>
    </row>
    <row r="44" spans="1:12" x14ac:dyDescent="0.25">
      <c r="A44" s="23"/>
      <c r="B44" s="20">
        <v>301001095.12</v>
      </c>
      <c r="C44" s="20">
        <v>306248925.88999999</v>
      </c>
      <c r="D44" s="20">
        <v>-5247830.769999966</v>
      </c>
      <c r="E44" s="31">
        <v>-1.7135834043332802E-2</v>
      </c>
      <c r="F44" s="20">
        <v>1430025000.0699999</v>
      </c>
      <c r="G44" s="20">
        <v>1278052064.0599997</v>
      </c>
      <c r="H44" s="20">
        <v>151972936.00999999</v>
      </c>
      <c r="I44" s="31">
        <v>0.11890981618325169</v>
      </c>
      <c r="J44" s="23"/>
      <c r="K44" s="23"/>
      <c r="L44" s="23"/>
    </row>
    <row r="45" spans="1:12" x14ac:dyDescent="0.25">
      <c r="A45" s="39" t="s">
        <v>29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8" spans="1:12" x14ac:dyDescent="0.25">
      <c r="A48" s="23"/>
      <c r="B48" s="20"/>
      <c r="C48" s="20"/>
      <c r="D48" s="20"/>
      <c r="E48" s="23"/>
      <c r="F48" s="32"/>
      <c r="G48" s="32"/>
      <c r="H48" s="32"/>
      <c r="I48" s="23"/>
      <c r="J48" s="23"/>
      <c r="K48" s="23"/>
      <c r="L48" s="23"/>
    </row>
    <row r="49" spans="1:12" x14ac:dyDescent="0.25">
      <c r="A49" s="23"/>
      <c r="B49" s="23"/>
      <c r="C49" s="20"/>
      <c r="D49" s="23"/>
      <c r="E49" s="23"/>
      <c r="F49" s="23"/>
      <c r="G49" s="23"/>
      <c r="H49" s="23"/>
      <c r="I49" s="23"/>
      <c r="J49" s="23"/>
      <c r="K49" s="23"/>
      <c r="L49" s="23"/>
    </row>
    <row r="53" spans="1:12" x14ac:dyDescent="0.25">
      <c r="B53" s="20"/>
      <c r="C53" s="20"/>
      <c r="D53" s="20"/>
      <c r="E53" s="23"/>
      <c r="F53" s="32"/>
      <c r="G53" s="32"/>
      <c r="H53" s="32"/>
      <c r="I53" s="23"/>
      <c r="J53" s="23"/>
      <c r="K53" s="23"/>
      <c r="L53" s="23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F8A6E-05A8-4C07-B563-2BBB751BEC7D}">
  <dimension ref="A1:L53"/>
  <sheetViews>
    <sheetView tabSelected="1" workbookViewId="0">
      <selection sqref="A1:I1"/>
    </sheetView>
  </sheetViews>
  <sheetFormatPr defaultRowHeight="15" x14ac:dyDescent="0.25"/>
  <cols>
    <col min="1" max="1" width="63.42578125" bestFit="1" customWidth="1"/>
    <col min="2" max="3" width="17.42578125" bestFit="1" customWidth="1"/>
    <col min="4" max="4" width="14.42578125" customWidth="1"/>
    <col min="5" max="5" width="11.28515625" customWidth="1"/>
    <col min="6" max="6" width="15.85546875" customWidth="1"/>
    <col min="7" max="7" width="15.7109375" customWidth="1"/>
    <col min="8" max="8" width="15" bestFit="1" customWidth="1"/>
    <col min="9" max="9" width="10.140625" customWidth="1"/>
    <col min="14" max="14" width="15.5703125" bestFit="1" customWidth="1"/>
  </cols>
  <sheetData>
    <row r="1" spans="1:12" ht="18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7"/>
      <c r="K1" s="23"/>
      <c r="L1" s="23"/>
    </row>
    <row r="2" spans="1:12" x14ac:dyDescent="0.25">
      <c r="A2" s="49" t="s">
        <v>104</v>
      </c>
      <c r="B2" s="49"/>
      <c r="C2" s="49"/>
      <c r="D2" s="49"/>
      <c r="E2" s="49"/>
      <c r="F2" s="49"/>
      <c r="G2" s="49"/>
      <c r="H2" s="49"/>
      <c r="I2" s="49"/>
      <c r="J2" s="26"/>
      <c r="K2" s="23"/>
      <c r="L2" s="23"/>
    </row>
    <row r="3" spans="1:12" x14ac:dyDescent="0.25">
      <c r="A3" s="22"/>
      <c r="B3" s="23"/>
      <c r="C3" s="24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5">
      <c r="A4" s="22"/>
      <c r="B4" s="23"/>
      <c r="C4" s="23"/>
      <c r="D4" s="25" t="s">
        <v>30</v>
      </c>
      <c r="E4" s="23"/>
      <c r="F4" s="26" t="s">
        <v>31</v>
      </c>
      <c r="G4" s="26" t="s">
        <v>32</v>
      </c>
      <c r="H4" s="27" t="s">
        <v>30</v>
      </c>
      <c r="I4" s="23"/>
      <c r="J4" s="23"/>
      <c r="K4" s="23"/>
      <c r="L4" s="23"/>
    </row>
    <row r="5" spans="1:12" x14ac:dyDescent="0.25">
      <c r="A5" s="23"/>
      <c r="B5" s="28" t="s">
        <v>105</v>
      </c>
      <c r="C5" s="25" t="s">
        <v>59</v>
      </c>
      <c r="D5" s="24" t="s">
        <v>33</v>
      </c>
      <c r="E5" s="26" t="s">
        <v>34</v>
      </c>
      <c r="F5" s="26" t="s">
        <v>35</v>
      </c>
      <c r="G5" s="26" t="s">
        <v>35</v>
      </c>
      <c r="H5" s="26" t="s">
        <v>33</v>
      </c>
      <c r="I5" s="26" t="s">
        <v>34</v>
      </c>
      <c r="J5" s="23"/>
      <c r="K5" s="23"/>
      <c r="L5" s="23"/>
    </row>
    <row r="6" spans="1:12" x14ac:dyDescent="0.25">
      <c r="A6" s="23"/>
      <c r="B6" s="29" t="s">
        <v>4</v>
      </c>
      <c r="C6" s="29" t="s">
        <v>4</v>
      </c>
      <c r="D6" s="29" t="s">
        <v>4</v>
      </c>
      <c r="E6" s="30" t="s">
        <v>4</v>
      </c>
      <c r="F6" s="30" t="s">
        <v>4</v>
      </c>
      <c r="G6" s="30" t="s">
        <v>4</v>
      </c>
      <c r="H6" s="30" t="s">
        <v>4</v>
      </c>
      <c r="I6" s="30" t="s">
        <v>4</v>
      </c>
      <c r="J6" s="23"/>
      <c r="K6" s="23"/>
      <c r="L6" s="23"/>
    </row>
    <row r="7" spans="1:12" x14ac:dyDescent="0.25">
      <c r="A7" s="14" t="s">
        <v>106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x14ac:dyDescent="0.25">
      <c r="A8" s="14" t="s">
        <v>36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x14ac:dyDescent="0.25">
      <c r="A9" s="1" t="s">
        <v>5</v>
      </c>
      <c r="B9" s="20">
        <v>161507594.38</v>
      </c>
      <c r="C9" s="20">
        <v>151427306.34999999</v>
      </c>
      <c r="D9" s="20">
        <v>10080288.030000001</v>
      </c>
      <c r="E9" s="31">
        <v>6.656849595343807E-2</v>
      </c>
      <c r="F9" s="32">
        <v>1613771048.8400002</v>
      </c>
      <c r="G9" s="32">
        <v>1402252710.9499998</v>
      </c>
      <c r="H9" s="32">
        <v>211518337.89000034</v>
      </c>
      <c r="I9" s="31">
        <v>0.15084181063675794</v>
      </c>
      <c r="J9" s="23"/>
      <c r="K9" s="23"/>
      <c r="L9" s="23"/>
    </row>
    <row r="10" spans="1:12" x14ac:dyDescent="0.25">
      <c r="A10" s="1" t="s">
        <v>6</v>
      </c>
      <c r="B10" s="20">
        <v>200895585.97</v>
      </c>
      <c r="C10" s="20">
        <v>194738140.53</v>
      </c>
      <c r="D10" s="20">
        <v>6157445.4399999976</v>
      </c>
      <c r="E10" s="31">
        <v>3.1619103598513741E-2</v>
      </c>
      <c r="F10" s="32">
        <v>2014062957.1500001</v>
      </c>
      <c r="G10" s="32">
        <v>1783470467.8699996</v>
      </c>
      <c r="H10" s="32">
        <v>230592489.28000045</v>
      </c>
      <c r="I10" s="31">
        <v>0.12929425714315149</v>
      </c>
      <c r="J10" s="23"/>
      <c r="K10" s="23"/>
      <c r="L10" s="23"/>
    </row>
    <row r="11" spans="1:12" x14ac:dyDescent="0.25">
      <c r="A11" s="1" t="s">
        <v>7</v>
      </c>
      <c r="B11" s="20">
        <v>38399845.509999998</v>
      </c>
      <c r="C11" s="20">
        <v>37234522.630000003</v>
      </c>
      <c r="D11" s="20">
        <v>1165322.8799999952</v>
      </c>
      <c r="E11" s="31">
        <v>3.1296839537324699E-2</v>
      </c>
      <c r="F11" s="32">
        <v>382878562.86000001</v>
      </c>
      <c r="G11" s="32">
        <v>342589370.10000002</v>
      </c>
      <c r="H11" s="32">
        <v>40289192.75999999</v>
      </c>
      <c r="I11" s="31">
        <v>0.1176019931623675</v>
      </c>
      <c r="J11" s="23"/>
      <c r="K11" s="23"/>
      <c r="L11" s="23"/>
    </row>
    <row r="12" spans="1:12" x14ac:dyDescent="0.25">
      <c r="A12" s="1" t="s">
        <v>8</v>
      </c>
      <c r="B12" s="20">
        <v>134388345.55000001</v>
      </c>
      <c r="C12" s="20">
        <v>130297998.29000001</v>
      </c>
      <c r="D12" s="20">
        <v>4090347.2600000054</v>
      </c>
      <c r="E12" s="31">
        <v>3.139224941043417E-2</v>
      </c>
      <c r="F12" s="32">
        <v>1339952266.6499999</v>
      </c>
      <c r="G12" s="32">
        <v>1198787256.1600001</v>
      </c>
      <c r="H12" s="32">
        <v>141165010.48999977</v>
      </c>
      <c r="I12" s="31">
        <v>0.11775651581597954</v>
      </c>
      <c r="J12" s="23"/>
      <c r="K12" s="23"/>
      <c r="L12" s="23"/>
    </row>
    <row r="13" spans="1:12" x14ac:dyDescent="0.25">
      <c r="A13" s="1" t="s">
        <v>9</v>
      </c>
      <c r="B13" s="20">
        <v>105159867.95999999</v>
      </c>
      <c r="C13" s="20">
        <v>102923180.19</v>
      </c>
      <c r="D13" s="20">
        <v>2236687.7699999958</v>
      </c>
      <c r="E13" s="31">
        <v>2.1731623195775603E-2</v>
      </c>
      <c r="F13" s="32">
        <v>1048416486.0400002</v>
      </c>
      <c r="G13" s="32">
        <v>950522338.22000027</v>
      </c>
      <c r="H13" s="32">
        <v>97894147.819999933</v>
      </c>
      <c r="I13" s="31">
        <v>0.10298984451361956</v>
      </c>
      <c r="J13" s="23"/>
      <c r="K13" s="23"/>
      <c r="L13" s="23"/>
    </row>
    <row r="14" spans="1:12" x14ac:dyDescent="0.25">
      <c r="A14" s="23"/>
      <c r="B14" s="29" t="s">
        <v>4</v>
      </c>
      <c r="C14" s="29" t="s">
        <v>4</v>
      </c>
      <c r="D14" s="29" t="s">
        <v>4</v>
      </c>
      <c r="E14" s="30" t="s">
        <v>4</v>
      </c>
      <c r="F14" s="30" t="s">
        <v>4</v>
      </c>
      <c r="G14" s="30" t="s">
        <v>4</v>
      </c>
      <c r="H14" s="30" t="s">
        <v>4</v>
      </c>
      <c r="I14" s="30" t="s">
        <v>4</v>
      </c>
      <c r="J14" s="23"/>
      <c r="K14" s="23"/>
      <c r="L14" s="23"/>
    </row>
    <row r="15" spans="1:12" x14ac:dyDescent="0.25">
      <c r="A15" s="18" t="s">
        <v>10</v>
      </c>
      <c r="B15" s="33">
        <v>640351239.37</v>
      </c>
      <c r="C15" s="33">
        <v>616621147.99000001</v>
      </c>
      <c r="D15" s="33">
        <v>23730091.379999995</v>
      </c>
      <c r="E15" s="34">
        <v>3.8484069930707007E-2</v>
      </c>
      <c r="F15" s="35">
        <v>6399081321.54</v>
      </c>
      <c r="G15" s="35">
        <v>5677622143.3000002</v>
      </c>
      <c r="H15" s="35">
        <v>721459178.24000049</v>
      </c>
      <c r="I15" s="34">
        <v>0.12707065740388762</v>
      </c>
      <c r="J15" s="18"/>
      <c r="K15" s="23"/>
      <c r="L15" s="23"/>
    </row>
    <row r="16" spans="1:12" x14ac:dyDescent="0.25">
      <c r="A16" s="23"/>
      <c r="B16" s="20"/>
      <c r="C16" s="20"/>
      <c r="D16" s="23"/>
      <c r="E16" s="31"/>
      <c r="F16" s="23"/>
      <c r="G16" s="23"/>
      <c r="H16" s="23"/>
      <c r="I16" s="23"/>
      <c r="J16" s="23"/>
      <c r="K16" s="23"/>
      <c r="L16" s="23"/>
    </row>
    <row r="17" spans="1:12" x14ac:dyDescent="0.25">
      <c r="A17" s="1" t="s">
        <v>11</v>
      </c>
      <c r="B17" s="20">
        <v>0</v>
      </c>
      <c r="C17" s="20">
        <v>0</v>
      </c>
      <c r="D17" s="20">
        <v>0</v>
      </c>
      <c r="E17" s="31">
        <v>0</v>
      </c>
      <c r="F17" s="32">
        <v>69889.98</v>
      </c>
      <c r="G17" s="32">
        <v>150681.35</v>
      </c>
      <c r="H17" s="32">
        <v>-80791.37000000001</v>
      </c>
      <c r="I17" s="31">
        <v>-0.5361736538728914</v>
      </c>
      <c r="J17" s="23"/>
      <c r="K17" s="23"/>
      <c r="L17" s="23"/>
    </row>
    <row r="18" spans="1:12" x14ac:dyDescent="0.25">
      <c r="A18" s="18" t="s">
        <v>12</v>
      </c>
      <c r="B18" s="20">
        <v>0</v>
      </c>
      <c r="C18" s="20">
        <v>0</v>
      </c>
      <c r="D18" s="20">
        <v>0</v>
      </c>
      <c r="E18" s="31">
        <v>0</v>
      </c>
      <c r="F18" s="32">
        <v>589205086.71000004</v>
      </c>
      <c r="G18" s="32">
        <v>577405944.88999999</v>
      </c>
      <c r="H18" s="32">
        <v>11799141.820000052</v>
      </c>
      <c r="I18" s="31">
        <v>2.0434742531526714E-2</v>
      </c>
      <c r="J18" s="23"/>
      <c r="K18" s="23"/>
      <c r="L18" s="23"/>
    </row>
    <row r="19" spans="1:12" x14ac:dyDescent="0.25">
      <c r="A19" s="23"/>
      <c r="B19" s="29" t="s">
        <v>4</v>
      </c>
      <c r="C19" s="29" t="s">
        <v>4</v>
      </c>
      <c r="D19" s="29" t="s">
        <v>4</v>
      </c>
      <c r="E19" s="30" t="s">
        <v>4</v>
      </c>
      <c r="F19" s="30" t="s">
        <v>4</v>
      </c>
      <c r="G19" s="30" t="s">
        <v>4</v>
      </c>
      <c r="H19" s="30" t="s">
        <v>4</v>
      </c>
      <c r="I19" s="30" t="s">
        <v>4</v>
      </c>
      <c r="J19" s="23"/>
      <c r="K19" s="23"/>
      <c r="L19" s="23"/>
    </row>
    <row r="20" spans="1:12" x14ac:dyDescent="0.25">
      <c r="A20" s="18" t="s">
        <v>13</v>
      </c>
      <c r="B20" s="20">
        <v>640351239.37</v>
      </c>
      <c r="C20" s="20">
        <v>616621147.99000001</v>
      </c>
      <c r="D20" s="20">
        <v>23730091.379999995</v>
      </c>
      <c r="E20" s="31">
        <v>3.8484069930707007E-2</v>
      </c>
      <c r="F20" s="20">
        <v>6988356298.2299995</v>
      </c>
      <c r="G20" s="20">
        <v>6255178769.5400009</v>
      </c>
      <c r="H20" s="20">
        <v>733177528.69000053</v>
      </c>
      <c r="I20" s="31">
        <v>0.11721128295489429</v>
      </c>
      <c r="J20" s="23"/>
      <c r="K20" s="23"/>
      <c r="L20" s="23"/>
    </row>
    <row r="21" spans="1:12" x14ac:dyDescent="0.25">
      <c r="A21" s="18"/>
      <c r="B21" s="20"/>
      <c r="C21" s="20"/>
      <c r="D21" s="20"/>
      <c r="E21" s="31"/>
      <c r="F21" s="32"/>
      <c r="G21" s="32"/>
      <c r="H21" s="32"/>
      <c r="I21" s="31"/>
      <c r="J21" s="23"/>
      <c r="K21" s="23"/>
      <c r="L21" s="23"/>
    </row>
    <row r="22" spans="1:12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x14ac:dyDescent="0.25">
      <c r="A23" s="14" t="s">
        <v>107</v>
      </c>
      <c r="B23" s="20"/>
      <c r="C23" s="20"/>
      <c r="D23" s="20"/>
      <c r="E23" s="31"/>
      <c r="F23" s="32"/>
      <c r="G23" s="32"/>
      <c r="H23" s="32"/>
      <c r="I23" s="31"/>
      <c r="J23" s="23"/>
      <c r="K23" s="23"/>
      <c r="L23" s="23"/>
    </row>
    <row r="24" spans="1:12" x14ac:dyDescent="0.25">
      <c r="A24" s="36" t="s">
        <v>37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x14ac:dyDescent="0.25">
      <c r="A25" s="18" t="s">
        <v>16</v>
      </c>
      <c r="B25" s="20">
        <v>10136046.379999999</v>
      </c>
      <c r="C25" s="20">
        <v>9803430</v>
      </c>
      <c r="D25" s="20">
        <v>332616.37999999896</v>
      </c>
      <c r="E25" s="31">
        <v>3.3928571938596892E-2</v>
      </c>
      <c r="F25" s="32">
        <v>84067267.180000007</v>
      </c>
      <c r="G25" s="32">
        <v>99001378.580000013</v>
      </c>
      <c r="H25" s="32">
        <v>-14934111.400000006</v>
      </c>
      <c r="I25" s="31">
        <v>-0.15084750954182122</v>
      </c>
      <c r="J25" s="23"/>
      <c r="K25" s="23"/>
      <c r="L25" s="23"/>
    </row>
    <row r="26" spans="1:12" x14ac:dyDescent="0.25">
      <c r="A26" s="18" t="s">
        <v>17</v>
      </c>
      <c r="B26" s="20">
        <v>3612612.86</v>
      </c>
      <c r="C26" s="20">
        <v>1510387.91</v>
      </c>
      <c r="D26" s="20">
        <v>2102224.9500000002</v>
      </c>
      <c r="E26" s="31">
        <v>1.3918443971125274</v>
      </c>
      <c r="F26" s="32">
        <v>33590801.93</v>
      </c>
      <c r="G26" s="32">
        <v>25106516.390000001</v>
      </c>
      <c r="H26" s="32">
        <v>8484285.5399999991</v>
      </c>
      <c r="I26" s="31">
        <v>0.3379316113875247</v>
      </c>
      <c r="J26" s="23"/>
      <c r="K26" s="23"/>
      <c r="L26" s="23"/>
    </row>
    <row r="27" spans="1:12" x14ac:dyDescent="0.25">
      <c r="A27" s="18" t="s">
        <v>18</v>
      </c>
      <c r="B27" s="20">
        <v>4344627.75</v>
      </c>
      <c r="C27" s="20">
        <v>7466758.6600000001</v>
      </c>
      <c r="D27" s="20">
        <v>-3122130.91</v>
      </c>
      <c r="E27" s="31">
        <v>-0.41813738091275071</v>
      </c>
      <c r="F27" s="32">
        <v>43371607.700000003</v>
      </c>
      <c r="G27" s="32">
        <v>41145673.909999996</v>
      </c>
      <c r="H27" s="32">
        <v>2225933.7900000066</v>
      </c>
      <c r="I27" s="31">
        <v>5.4098853621134112E-2</v>
      </c>
      <c r="J27" s="23"/>
      <c r="K27" s="23"/>
      <c r="L27" s="23"/>
    </row>
    <row r="28" spans="1:12" x14ac:dyDescent="0.25">
      <c r="A28" s="18" t="s">
        <v>98</v>
      </c>
      <c r="B28" s="20">
        <v>0</v>
      </c>
      <c r="C28" s="20">
        <v>0</v>
      </c>
      <c r="D28" s="20">
        <v>0</v>
      </c>
      <c r="E28" s="31">
        <v>0</v>
      </c>
      <c r="F28" s="32">
        <v>505162262.39999998</v>
      </c>
      <c r="G28" s="32">
        <v>476425326.55999994</v>
      </c>
      <c r="H28" s="32">
        <v>28736935.840000033</v>
      </c>
      <c r="I28" s="31">
        <v>6.0317817374431641E-2</v>
      </c>
      <c r="J28" s="23"/>
      <c r="K28" s="23"/>
      <c r="L28" s="23"/>
    </row>
    <row r="29" spans="1:12" x14ac:dyDescent="0.25">
      <c r="A29" s="18" t="s">
        <v>20</v>
      </c>
      <c r="B29" s="20">
        <v>174504.93</v>
      </c>
      <c r="C29" s="20">
        <v>181867.38</v>
      </c>
      <c r="D29" s="20">
        <v>-7362.4500000000116</v>
      </c>
      <c r="E29" s="31">
        <v>-4.0482520834687404E-2</v>
      </c>
      <c r="F29" s="32">
        <v>1844506.57</v>
      </c>
      <c r="G29" s="32">
        <v>1944879.0700000003</v>
      </c>
      <c r="H29" s="32">
        <v>-100372.50000000023</v>
      </c>
      <c r="I29" s="31">
        <v>-5.1608607212786872E-2</v>
      </c>
      <c r="J29" s="23"/>
      <c r="K29" s="23"/>
      <c r="L29" s="23"/>
    </row>
    <row r="30" spans="1:12" x14ac:dyDescent="0.25">
      <c r="A30" s="18" t="s">
        <v>38</v>
      </c>
      <c r="B30" s="20">
        <v>0</v>
      </c>
      <c r="C30" s="20">
        <v>0</v>
      </c>
      <c r="D30" s="20">
        <v>0</v>
      </c>
      <c r="E30" s="31">
        <v>0</v>
      </c>
      <c r="F30" s="32">
        <v>67959491.390000001</v>
      </c>
      <c r="G30" s="32">
        <v>65852660.170000002</v>
      </c>
      <c r="H30" s="32">
        <v>2106831.2199999988</v>
      </c>
      <c r="I30" s="31">
        <v>3.1993107257340413E-2</v>
      </c>
      <c r="J30" s="23"/>
      <c r="K30" s="23"/>
      <c r="L30" s="23"/>
    </row>
    <row r="31" spans="1:12" x14ac:dyDescent="0.25">
      <c r="A31" s="18" t="s">
        <v>22</v>
      </c>
      <c r="B31" s="20">
        <v>10504022.119999999</v>
      </c>
      <c r="C31" s="20">
        <v>10864910.619999999</v>
      </c>
      <c r="D31" s="20">
        <v>-360888.5</v>
      </c>
      <c r="E31" s="31">
        <v>-3.321596583921093E-2</v>
      </c>
      <c r="F31" s="32">
        <v>109463571.33</v>
      </c>
      <c r="G31" s="32">
        <v>98572148.159999996</v>
      </c>
      <c r="H31" s="32">
        <v>10891423.170000002</v>
      </c>
      <c r="I31" s="31">
        <v>0.11049189221605782</v>
      </c>
      <c r="J31" s="23"/>
      <c r="K31" s="23"/>
      <c r="L31" s="23"/>
    </row>
    <row r="32" spans="1:12" x14ac:dyDescent="0.25">
      <c r="A32" s="18" t="s">
        <v>23</v>
      </c>
      <c r="B32" s="20">
        <v>0</v>
      </c>
      <c r="C32" s="20">
        <v>0</v>
      </c>
      <c r="D32" s="20">
        <v>0</v>
      </c>
      <c r="E32" s="31">
        <v>0</v>
      </c>
      <c r="F32" s="32">
        <v>1333998.75</v>
      </c>
      <c r="G32" s="32">
        <v>1597933.75</v>
      </c>
      <c r="H32" s="32">
        <v>-263935</v>
      </c>
      <c r="I32" s="31">
        <v>-0.16517268003132171</v>
      </c>
      <c r="J32" s="23"/>
      <c r="K32" s="23"/>
      <c r="L32" s="23"/>
    </row>
    <row r="33" spans="1:12" x14ac:dyDescent="0.25">
      <c r="A33" s="18" t="s">
        <v>49</v>
      </c>
      <c r="B33" s="20">
        <v>0</v>
      </c>
      <c r="C33" s="20">
        <v>0</v>
      </c>
      <c r="D33" s="20">
        <v>0</v>
      </c>
      <c r="E33" s="31">
        <v>0</v>
      </c>
      <c r="F33" s="32">
        <v>119356907.73999999</v>
      </c>
      <c r="G33" s="32">
        <v>83507512.889999986</v>
      </c>
      <c r="H33" s="32">
        <v>35849394.850000009</v>
      </c>
      <c r="I33" s="31">
        <v>0.4292954443179563</v>
      </c>
      <c r="J33" s="23"/>
      <c r="K33" s="23"/>
      <c r="L33" s="23"/>
    </row>
    <row r="34" spans="1:12" x14ac:dyDescent="0.25">
      <c r="A34" s="18" t="s">
        <v>24</v>
      </c>
      <c r="B34" s="20">
        <v>0</v>
      </c>
      <c r="C34" s="20">
        <v>0</v>
      </c>
      <c r="D34" s="20">
        <v>0</v>
      </c>
      <c r="E34" s="31">
        <v>0</v>
      </c>
      <c r="F34" s="32">
        <v>88493929.11999999</v>
      </c>
      <c r="G34" s="32">
        <v>92496417.049999997</v>
      </c>
      <c r="H34" s="32">
        <v>-4002487.9300000072</v>
      </c>
      <c r="I34" s="31">
        <v>-4.3271815900030125E-2</v>
      </c>
      <c r="J34" s="23"/>
      <c r="K34" s="23"/>
      <c r="L34" s="23"/>
    </row>
    <row r="35" spans="1:12" x14ac:dyDescent="0.25">
      <c r="A35" s="18" t="s">
        <v>25</v>
      </c>
      <c r="B35" s="21" t="s">
        <v>108</v>
      </c>
      <c r="C35" s="21" t="s">
        <v>66</v>
      </c>
      <c r="D35" s="21" t="s">
        <v>43</v>
      </c>
      <c r="E35" s="21" t="s">
        <v>42</v>
      </c>
      <c r="F35" s="21" t="s">
        <v>41</v>
      </c>
      <c r="G35" s="37" t="s">
        <v>96</v>
      </c>
      <c r="H35" s="21" t="s">
        <v>40</v>
      </c>
      <c r="I35" s="21" t="s">
        <v>39</v>
      </c>
      <c r="J35" s="23"/>
      <c r="K35" s="23"/>
      <c r="L35" s="23"/>
    </row>
    <row r="36" spans="1:12" x14ac:dyDescent="0.25">
      <c r="A36" s="18" t="s">
        <v>26</v>
      </c>
      <c r="B36" s="20">
        <v>3497313.9400000004</v>
      </c>
      <c r="C36" s="20">
        <v>2816614.3400000003</v>
      </c>
      <c r="D36" s="20">
        <v>680699.60000000009</v>
      </c>
      <c r="E36" s="31">
        <v>0.24167298672490606</v>
      </c>
      <c r="F36" s="32">
        <v>25248479.800000001</v>
      </c>
      <c r="G36" s="32">
        <v>26868764.169999998</v>
      </c>
      <c r="H36" s="32">
        <v>-1620284.3699999973</v>
      </c>
      <c r="I36" s="31">
        <v>-6.0303643284386955E-2</v>
      </c>
      <c r="J36" s="23"/>
      <c r="K36" s="23"/>
      <c r="L36" s="23"/>
    </row>
    <row r="37" spans="1:12" x14ac:dyDescent="0.25">
      <c r="A37" s="18" t="s">
        <v>27</v>
      </c>
      <c r="B37" s="20">
        <v>24669275.68</v>
      </c>
      <c r="C37" s="20">
        <v>19950997.529999997</v>
      </c>
      <c r="D37" s="20">
        <v>4718278.1500000022</v>
      </c>
      <c r="E37" s="31">
        <v>0.23649334540316605</v>
      </c>
      <c r="F37" s="32">
        <v>185603739.47</v>
      </c>
      <c r="G37" s="32">
        <v>177488478.20000002</v>
      </c>
      <c r="H37" s="32">
        <v>8115261.2699999809</v>
      </c>
      <c r="I37" s="31">
        <v>4.57227497373403E-2</v>
      </c>
      <c r="J37" s="23"/>
      <c r="K37" s="23"/>
      <c r="L37" s="23"/>
    </row>
    <row r="38" spans="1:12" x14ac:dyDescent="0.25">
      <c r="A38" s="18" t="s">
        <v>44</v>
      </c>
      <c r="B38" s="20">
        <v>4015608.36</v>
      </c>
      <c r="C38" s="20">
        <v>3903701.04</v>
      </c>
      <c r="D38" s="20">
        <v>111907.31999999983</v>
      </c>
      <c r="E38" s="31">
        <v>2.8666980092307434E-2</v>
      </c>
      <c r="F38" s="32">
        <v>37970654.879999995</v>
      </c>
      <c r="G38" s="32">
        <v>37791745.690000005</v>
      </c>
      <c r="H38" s="32">
        <v>178909.18999999017</v>
      </c>
      <c r="I38" s="31">
        <v>4.7340811262743801E-3</v>
      </c>
      <c r="J38" s="23"/>
      <c r="K38" s="23"/>
      <c r="L38" s="23"/>
    </row>
    <row r="39" spans="1:12" x14ac:dyDescent="0.25">
      <c r="A39" s="18" t="s">
        <v>45</v>
      </c>
      <c r="B39" s="20">
        <v>991173.55</v>
      </c>
      <c r="C39" s="20">
        <v>2161928.88</v>
      </c>
      <c r="D39" s="20">
        <v>-1170755.3299999998</v>
      </c>
      <c r="E39" s="31">
        <v>-0.54153276771990755</v>
      </c>
      <c r="F39" s="32">
        <v>111141401.8</v>
      </c>
      <c r="G39" s="32">
        <v>25857891.939999998</v>
      </c>
      <c r="H39" s="32">
        <v>85283509.859999999</v>
      </c>
      <c r="I39" s="31">
        <v>3.2981617394755038</v>
      </c>
      <c r="J39" s="23"/>
      <c r="K39" s="23"/>
      <c r="L39" s="23"/>
    </row>
    <row r="40" spans="1:12" x14ac:dyDescent="0.25">
      <c r="A40" s="18" t="s">
        <v>46</v>
      </c>
      <c r="B40" s="20">
        <v>5954644.7599999998</v>
      </c>
      <c r="C40" s="20">
        <v>5804585.6900000004</v>
      </c>
      <c r="D40" s="20">
        <v>150059.06999999937</v>
      </c>
      <c r="E40" s="31">
        <v>2.5851814068059586E-2</v>
      </c>
      <c r="F40" s="32">
        <v>58283162.780000001</v>
      </c>
      <c r="G40" s="32">
        <v>61523113.519999996</v>
      </c>
      <c r="H40" s="32">
        <v>-3239950.7399999946</v>
      </c>
      <c r="I40" s="31">
        <v>-5.2662333790157549E-2</v>
      </c>
      <c r="J40" s="23"/>
      <c r="K40" s="23"/>
      <c r="L40" s="23"/>
    </row>
    <row r="41" spans="1:12" x14ac:dyDescent="0.25">
      <c r="A41" s="18" t="s">
        <v>47</v>
      </c>
      <c r="B41" s="20">
        <v>2948913.6</v>
      </c>
      <c r="C41" s="20">
        <v>3020195.81</v>
      </c>
      <c r="D41" s="20">
        <v>-71282.209999999963</v>
      </c>
      <c r="E41" s="31">
        <v>-2.3601850503858542E-2</v>
      </c>
      <c r="F41" s="32">
        <v>27981961.160000004</v>
      </c>
      <c r="G41" s="32">
        <v>30357001.870000001</v>
      </c>
      <c r="H41" s="32">
        <v>-2375040.7099999972</v>
      </c>
      <c r="I41" s="31">
        <v>-7.8236998507652603E-2</v>
      </c>
      <c r="J41" s="23"/>
      <c r="K41" s="23"/>
      <c r="L41" s="23"/>
    </row>
    <row r="42" spans="1:12" x14ac:dyDescent="0.25">
      <c r="A42" s="23"/>
      <c r="B42" s="20"/>
      <c r="C42" s="23"/>
      <c r="D42" s="20"/>
      <c r="E42" s="31"/>
      <c r="F42" s="32"/>
      <c r="G42" s="32"/>
      <c r="H42" s="32"/>
      <c r="I42" s="31"/>
      <c r="J42" s="23"/>
      <c r="K42" s="23"/>
      <c r="L42" s="23"/>
    </row>
    <row r="43" spans="1:12" x14ac:dyDescent="0.25">
      <c r="A43" s="18" t="s">
        <v>28</v>
      </c>
      <c r="B43" s="29" t="s">
        <v>4</v>
      </c>
      <c r="C43" s="29" t="s">
        <v>4</v>
      </c>
      <c r="D43" s="29" t="s">
        <v>4</v>
      </c>
      <c r="E43" s="30" t="s">
        <v>4</v>
      </c>
      <c r="F43" s="30" t="s">
        <v>4</v>
      </c>
      <c r="G43" s="30" t="s">
        <v>4</v>
      </c>
      <c r="H43" s="30" t="s">
        <v>4</v>
      </c>
      <c r="I43" s="30" t="s">
        <v>4</v>
      </c>
      <c r="J43" s="23"/>
      <c r="K43" s="23"/>
      <c r="L43" s="23"/>
    </row>
    <row r="44" spans="1:12" x14ac:dyDescent="0.25">
      <c r="A44" s="23"/>
      <c r="B44" s="20">
        <v>70848743.929999992</v>
      </c>
      <c r="C44" s="20">
        <v>67485377.859999999</v>
      </c>
      <c r="D44" s="20">
        <v>3363366.0700000003</v>
      </c>
      <c r="E44" s="31">
        <v>4.9838441698843002E-2</v>
      </c>
      <c r="F44" s="20">
        <v>1500873744.0000002</v>
      </c>
      <c r="G44" s="20">
        <v>1345537441.9199998</v>
      </c>
      <c r="H44" s="20">
        <v>155336302.08000001</v>
      </c>
      <c r="I44" s="31">
        <v>0.1154455440930314</v>
      </c>
      <c r="J44" s="23"/>
      <c r="K44" s="23"/>
      <c r="L44" s="23"/>
    </row>
    <row r="45" spans="1:12" x14ac:dyDescent="0.25">
      <c r="A45" s="39" t="s">
        <v>29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8" spans="1:12" x14ac:dyDescent="0.25">
      <c r="A48" s="23"/>
      <c r="B48" s="20"/>
      <c r="C48" s="20"/>
      <c r="D48" s="20"/>
      <c r="E48" s="23"/>
      <c r="F48" s="32"/>
      <c r="G48" s="32"/>
      <c r="H48" s="32"/>
      <c r="I48" s="23"/>
      <c r="J48" s="23"/>
      <c r="K48" s="23"/>
      <c r="L48" s="23"/>
    </row>
    <row r="49" spans="1:12" x14ac:dyDescent="0.25">
      <c r="A49" s="23"/>
      <c r="B49" s="23"/>
      <c r="C49" s="20"/>
      <c r="D49" s="23"/>
      <c r="E49" s="23"/>
      <c r="F49" s="23"/>
      <c r="G49" s="23"/>
      <c r="H49" s="23"/>
      <c r="I49" s="23"/>
      <c r="J49" s="23"/>
      <c r="K49" s="23"/>
      <c r="L49" s="23"/>
    </row>
    <row r="53" spans="1:12" x14ac:dyDescent="0.25">
      <c r="B53" s="20"/>
      <c r="C53" s="20"/>
      <c r="D53" s="20"/>
      <c r="E53" s="23"/>
      <c r="F53" s="32"/>
      <c r="G53" s="32"/>
      <c r="H53" s="32"/>
      <c r="I53" s="23"/>
      <c r="J53" s="23"/>
      <c r="K53" s="23"/>
      <c r="L53" s="23"/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53"/>
  <sheetViews>
    <sheetView zoomScaleNormal="100" workbookViewId="0">
      <selection activeCell="A13" sqref="A13"/>
    </sheetView>
  </sheetViews>
  <sheetFormatPr defaultRowHeight="15" x14ac:dyDescent="0.25"/>
  <cols>
    <col min="1" max="1" width="66.140625" bestFit="1" customWidth="1"/>
    <col min="2" max="2" width="14.85546875" customWidth="1"/>
    <col min="3" max="4" width="14.42578125" customWidth="1"/>
    <col min="5" max="5" width="11.28515625" customWidth="1"/>
    <col min="6" max="6" width="15.85546875" customWidth="1"/>
    <col min="7" max="7" width="15.7109375" customWidth="1"/>
    <col min="8" max="8" width="14" customWidth="1"/>
    <col min="9" max="9" width="10.140625" customWidth="1"/>
    <col min="14" max="14" width="15.5703125" bestFit="1" customWidth="1"/>
    <col min="20" max="20" width="9" customWidth="1"/>
  </cols>
  <sheetData>
    <row r="1" spans="1:14" ht="18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6"/>
      <c r="K1" s="23"/>
      <c r="L1" s="23"/>
      <c r="M1" s="23"/>
    </row>
    <row r="2" spans="1:14" x14ac:dyDescent="0.25">
      <c r="A2" s="49" t="s">
        <v>63</v>
      </c>
      <c r="B2" s="49"/>
      <c r="C2" s="49"/>
      <c r="D2" s="49"/>
      <c r="E2" s="49"/>
      <c r="F2" s="49"/>
      <c r="G2" s="49"/>
      <c r="H2" s="49"/>
      <c r="I2" s="49"/>
      <c r="J2" s="26"/>
      <c r="K2" s="23"/>
      <c r="L2" s="23"/>
      <c r="M2" s="23"/>
    </row>
    <row r="3" spans="1:14" x14ac:dyDescent="0.25">
      <c r="A3" s="22"/>
      <c r="B3" s="23"/>
      <c r="C3" s="24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4" x14ac:dyDescent="0.25">
      <c r="A4" s="22"/>
      <c r="B4" s="23"/>
      <c r="C4" s="23"/>
      <c r="D4" s="25" t="s">
        <v>30</v>
      </c>
      <c r="E4" s="23"/>
      <c r="F4" s="26" t="s">
        <v>31</v>
      </c>
      <c r="G4" s="26" t="s">
        <v>32</v>
      </c>
      <c r="H4" s="27" t="s">
        <v>30</v>
      </c>
      <c r="I4" s="23"/>
      <c r="J4" s="23"/>
      <c r="K4" s="23"/>
      <c r="L4" s="23"/>
      <c r="M4" s="23"/>
    </row>
    <row r="5" spans="1:14" x14ac:dyDescent="0.25">
      <c r="A5" s="23"/>
      <c r="B5" s="28" t="s">
        <v>64</v>
      </c>
      <c r="C5" s="25" t="s">
        <v>50</v>
      </c>
      <c r="D5" s="24" t="s">
        <v>33</v>
      </c>
      <c r="E5" s="26" t="s">
        <v>34</v>
      </c>
      <c r="F5" s="26" t="s">
        <v>35</v>
      </c>
      <c r="G5" s="26" t="s">
        <v>35</v>
      </c>
      <c r="H5" s="26" t="s">
        <v>33</v>
      </c>
      <c r="I5" s="26" t="s">
        <v>34</v>
      </c>
      <c r="J5" s="23"/>
      <c r="K5" s="23"/>
      <c r="L5" s="23"/>
      <c r="M5" s="26"/>
    </row>
    <row r="6" spans="1:14" x14ac:dyDescent="0.25">
      <c r="A6" s="23"/>
      <c r="B6" s="29" t="s">
        <v>4</v>
      </c>
      <c r="C6" s="29" t="s">
        <v>4</v>
      </c>
      <c r="D6" s="29" t="s">
        <v>4</v>
      </c>
      <c r="E6" s="30" t="s">
        <v>4</v>
      </c>
      <c r="F6" s="30" t="s">
        <v>4</v>
      </c>
      <c r="G6" s="30" t="s">
        <v>4</v>
      </c>
      <c r="H6" s="30" t="s">
        <v>4</v>
      </c>
      <c r="I6" s="30" t="s">
        <v>4</v>
      </c>
      <c r="J6" s="23"/>
      <c r="K6" s="23"/>
      <c r="L6" s="23"/>
      <c r="M6" s="26"/>
    </row>
    <row r="7" spans="1:14" x14ac:dyDescent="0.25">
      <c r="A7" s="14" t="s">
        <v>65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38"/>
    </row>
    <row r="8" spans="1:14" x14ac:dyDescent="0.25">
      <c r="A8" s="14" t="s">
        <v>36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4" x14ac:dyDescent="0.25">
      <c r="A9" s="1" t="s">
        <v>5</v>
      </c>
      <c r="B9" s="20">
        <v>142268858.78</v>
      </c>
      <c r="C9" s="20">
        <v>147467006.28</v>
      </c>
      <c r="D9" s="20">
        <v>-5198147.5</v>
      </c>
      <c r="E9" s="31">
        <v>-3.5249562808172305E-2</v>
      </c>
      <c r="F9" s="32">
        <v>142268858.78</v>
      </c>
      <c r="G9" s="32">
        <v>147467006.28</v>
      </c>
      <c r="H9" s="32">
        <v>-5198147.5</v>
      </c>
      <c r="I9" s="31">
        <v>-3.5249562808172305E-2</v>
      </c>
      <c r="J9" s="23"/>
      <c r="K9" s="23"/>
      <c r="L9" s="23"/>
      <c r="M9" s="32"/>
    </row>
    <row r="10" spans="1:14" x14ac:dyDescent="0.25">
      <c r="A10" s="1" t="s">
        <v>6</v>
      </c>
      <c r="B10" s="20">
        <v>178938139.71000001</v>
      </c>
      <c r="C10" s="20">
        <v>184510767.44</v>
      </c>
      <c r="D10" s="20">
        <v>-5572627.7299999893</v>
      </c>
      <c r="E10" s="31">
        <v>-3.0202181733443391E-2</v>
      </c>
      <c r="F10" s="32">
        <v>178938139.71000001</v>
      </c>
      <c r="G10" s="32">
        <v>184510767.44</v>
      </c>
      <c r="H10" s="32">
        <v>-5572627.7299999893</v>
      </c>
      <c r="I10" s="31">
        <v>-3.0202181733443391E-2</v>
      </c>
      <c r="J10" s="23"/>
      <c r="K10" s="23"/>
      <c r="L10" s="23"/>
      <c r="M10" s="32"/>
    </row>
    <row r="11" spans="1:14" x14ac:dyDescent="0.25">
      <c r="A11" s="1" t="s">
        <v>7</v>
      </c>
      <c r="B11" s="20">
        <v>34403462.5</v>
      </c>
      <c r="C11" s="20">
        <v>35454892.960000001</v>
      </c>
      <c r="D11" s="20">
        <v>-1051430.4600000009</v>
      </c>
      <c r="E11" s="31">
        <v>-2.9655440257180258E-2</v>
      </c>
      <c r="F11" s="32">
        <v>34403462.5</v>
      </c>
      <c r="G11" s="32">
        <v>35454892.960000001</v>
      </c>
      <c r="H11" s="32">
        <v>-1051430.4600000009</v>
      </c>
      <c r="I11" s="31">
        <v>-2.9655440257180258E-2</v>
      </c>
      <c r="J11" s="23"/>
      <c r="K11" s="23"/>
      <c r="L11" s="23"/>
      <c r="M11" s="32"/>
    </row>
    <row r="12" spans="1:14" x14ac:dyDescent="0.25">
      <c r="A12" s="1" t="s">
        <v>8</v>
      </c>
      <c r="B12" s="20">
        <v>120399671.58</v>
      </c>
      <c r="C12" s="20">
        <v>124070519.86</v>
      </c>
      <c r="D12" s="20">
        <v>-3670848.2800000012</v>
      </c>
      <c r="E12" s="31">
        <v>-2.9586788901522713E-2</v>
      </c>
      <c r="F12" s="32">
        <v>120399671.58</v>
      </c>
      <c r="G12" s="32">
        <v>124070519.86</v>
      </c>
      <c r="H12" s="32">
        <v>-3670848.2800000012</v>
      </c>
      <c r="I12" s="31">
        <v>-2.9586788901522713E-2</v>
      </c>
      <c r="J12" s="23"/>
      <c r="K12" s="23"/>
      <c r="L12" s="23"/>
      <c r="M12" s="32"/>
    </row>
    <row r="13" spans="1:14" x14ac:dyDescent="0.25">
      <c r="A13" s="1" t="s">
        <v>9</v>
      </c>
      <c r="B13" s="20">
        <v>94313775.129999995</v>
      </c>
      <c r="C13" s="20">
        <v>97152341.010000005</v>
      </c>
      <c r="D13" s="20">
        <v>-2838565.8800000101</v>
      </c>
      <c r="E13" s="31">
        <v>-2.9217678652826626E-2</v>
      </c>
      <c r="F13" s="32">
        <v>94313775.129999995</v>
      </c>
      <c r="G13" s="32">
        <v>97152341.010000005</v>
      </c>
      <c r="H13" s="32">
        <v>-2838565.8800000101</v>
      </c>
      <c r="I13" s="31">
        <v>-2.9217678652826626E-2</v>
      </c>
      <c r="J13" s="23"/>
      <c r="K13" s="23"/>
      <c r="L13" s="23"/>
      <c r="M13" s="32"/>
    </row>
    <row r="14" spans="1:14" x14ac:dyDescent="0.25">
      <c r="A14" s="23"/>
      <c r="B14" s="29" t="s">
        <v>4</v>
      </c>
      <c r="C14" s="29" t="s">
        <v>4</v>
      </c>
      <c r="D14" s="29" t="s">
        <v>4</v>
      </c>
      <c r="E14" s="30" t="s">
        <v>4</v>
      </c>
      <c r="F14" s="30" t="s">
        <v>4</v>
      </c>
      <c r="G14" s="30" t="s">
        <v>4</v>
      </c>
      <c r="H14" s="30" t="s">
        <v>4</v>
      </c>
      <c r="I14" s="30" t="s">
        <v>4</v>
      </c>
      <c r="J14" s="23"/>
      <c r="K14" s="23"/>
      <c r="L14" s="23"/>
      <c r="M14" s="32"/>
    </row>
    <row r="15" spans="1:14" x14ac:dyDescent="0.25">
      <c r="A15" s="18" t="s">
        <v>10</v>
      </c>
      <c r="B15" s="33">
        <v>570323907.70000005</v>
      </c>
      <c r="C15" s="33">
        <v>588655527.55000007</v>
      </c>
      <c r="D15" s="33">
        <v>-18331619.850000001</v>
      </c>
      <c r="E15" s="34">
        <v>-3.1141506351425409E-2</v>
      </c>
      <c r="F15" s="35">
        <v>570323907.70000005</v>
      </c>
      <c r="G15" s="35">
        <v>588655527.55000007</v>
      </c>
      <c r="H15" s="35">
        <v>-18331619.850000001</v>
      </c>
      <c r="I15" s="34">
        <v>-3.1141506351425409E-2</v>
      </c>
      <c r="J15" s="18"/>
      <c r="K15" s="23"/>
      <c r="L15" s="23"/>
      <c r="M15" s="23"/>
    </row>
    <row r="16" spans="1:14" x14ac:dyDescent="0.25">
      <c r="A16" s="23"/>
      <c r="B16" s="20"/>
      <c r="C16" s="20"/>
      <c r="D16" s="23"/>
      <c r="E16" s="31"/>
      <c r="F16" s="23"/>
      <c r="G16" s="23"/>
      <c r="H16" s="23"/>
      <c r="I16" s="23"/>
      <c r="J16" s="23"/>
      <c r="K16" s="23"/>
      <c r="L16" s="23"/>
      <c r="M16" s="23"/>
    </row>
    <row r="17" spans="1:13" x14ac:dyDescent="0.25">
      <c r="A17" s="18" t="s">
        <v>11</v>
      </c>
      <c r="B17" s="20"/>
      <c r="C17" s="20">
        <v>0</v>
      </c>
      <c r="D17" s="20">
        <v>0</v>
      </c>
      <c r="E17" s="31">
        <v>0</v>
      </c>
      <c r="F17" s="32">
        <v>0</v>
      </c>
      <c r="G17" s="32">
        <v>0</v>
      </c>
      <c r="H17" s="32">
        <v>0</v>
      </c>
      <c r="I17" s="31">
        <v>0</v>
      </c>
      <c r="J17" s="23"/>
      <c r="K17" s="23"/>
      <c r="L17" s="23"/>
      <c r="M17" s="32"/>
    </row>
    <row r="18" spans="1:13" x14ac:dyDescent="0.25">
      <c r="A18" s="18" t="s">
        <v>12</v>
      </c>
      <c r="B18" s="20"/>
      <c r="C18" s="20">
        <v>0</v>
      </c>
      <c r="D18" s="20">
        <v>0</v>
      </c>
      <c r="E18" s="31">
        <v>0</v>
      </c>
      <c r="F18" s="32">
        <v>0</v>
      </c>
      <c r="G18" s="32">
        <v>0</v>
      </c>
      <c r="H18" s="32">
        <v>0</v>
      </c>
      <c r="I18" s="31">
        <v>0</v>
      </c>
      <c r="J18" s="23"/>
      <c r="K18" s="23"/>
      <c r="L18" s="23"/>
      <c r="M18" s="32"/>
    </row>
    <row r="19" spans="1:13" x14ac:dyDescent="0.25">
      <c r="A19" s="23"/>
      <c r="B19" s="29" t="s">
        <v>4</v>
      </c>
      <c r="C19" s="29" t="s">
        <v>4</v>
      </c>
      <c r="D19" s="29" t="s">
        <v>4</v>
      </c>
      <c r="E19" s="30" t="s">
        <v>4</v>
      </c>
      <c r="F19" s="30" t="s">
        <v>4</v>
      </c>
      <c r="G19" s="30" t="s">
        <v>4</v>
      </c>
      <c r="H19" s="30" t="s">
        <v>4</v>
      </c>
      <c r="I19" s="30" t="s">
        <v>4</v>
      </c>
      <c r="J19" s="23"/>
      <c r="K19" s="23"/>
      <c r="L19" s="23"/>
      <c r="M19" s="32"/>
    </row>
    <row r="20" spans="1:13" x14ac:dyDescent="0.25">
      <c r="A20" s="18" t="s">
        <v>13</v>
      </c>
      <c r="B20" s="20">
        <v>570323907.70000005</v>
      </c>
      <c r="C20" s="20">
        <v>588655527.55000007</v>
      </c>
      <c r="D20" s="20">
        <v>-18331619.850000001</v>
      </c>
      <c r="E20" s="31">
        <v>-3.1141506351425409E-2</v>
      </c>
      <c r="F20" s="20">
        <v>570323907.70000005</v>
      </c>
      <c r="G20" s="20">
        <v>588655527.55000007</v>
      </c>
      <c r="H20" s="20">
        <v>-18331619.850000001</v>
      </c>
      <c r="I20" s="31">
        <v>-3.1141506351425409E-2</v>
      </c>
      <c r="J20" s="23"/>
      <c r="K20" s="23"/>
      <c r="L20" s="23"/>
      <c r="M20" s="32"/>
    </row>
    <row r="21" spans="1:13" x14ac:dyDescent="0.25">
      <c r="A21" s="18"/>
      <c r="B21" s="20"/>
      <c r="C21" s="20"/>
      <c r="D21" s="20"/>
      <c r="E21" s="31"/>
      <c r="F21" s="32"/>
      <c r="G21" s="32"/>
      <c r="H21" s="32"/>
      <c r="I21" s="31"/>
      <c r="J21" s="23"/>
      <c r="K21" s="23"/>
      <c r="L21" s="23"/>
      <c r="M21" s="32"/>
    </row>
    <row r="22" spans="1:13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32"/>
    </row>
    <row r="23" spans="1:13" x14ac:dyDescent="0.25">
      <c r="A23" s="14" t="s">
        <v>103</v>
      </c>
      <c r="B23" s="20"/>
      <c r="C23" s="20"/>
      <c r="D23" s="20"/>
      <c r="E23" s="31"/>
      <c r="F23" s="32"/>
      <c r="G23" s="32"/>
      <c r="H23" s="32"/>
      <c r="I23" s="31"/>
      <c r="J23" s="23"/>
      <c r="K23" s="23"/>
      <c r="L23" s="23"/>
      <c r="M23" s="32"/>
    </row>
    <row r="24" spans="1:13" x14ac:dyDescent="0.25">
      <c r="A24" s="36" t="s">
        <v>37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32"/>
    </row>
    <row r="25" spans="1:13" x14ac:dyDescent="0.25">
      <c r="A25" s="18" t="s">
        <v>16</v>
      </c>
      <c r="B25" s="20">
        <v>6634917.5</v>
      </c>
      <c r="C25" s="20">
        <v>10566991.380000001</v>
      </c>
      <c r="D25" s="20">
        <v>-3932073.8800000008</v>
      </c>
      <c r="E25" s="31">
        <v>-0.37210912156530979</v>
      </c>
      <c r="F25" s="32">
        <v>6634917.5</v>
      </c>
      <c r="G25" s="32">
        <v>10566991.380000001</v>
      </c>
      <c r="H25" s="32">
        <v>-3932073.8800000008</v>
      </c>
      <c r="I25" s="31">
        <v>-0.37210912156530979</v>
      </c>
      <c r="J25" s="23"/>
      <c r="K25" s="23"/>
      <c r="L25" s="23"/>
      <c r="M25" s="32"/>
    </row>
    <row r="26" spans="1:13" x14ac:dyDescent="0.25">
      <c r="A26" s="18" t="s">
        <v>17</v>
      </c>
      <c r="B26" s="20">
        <v>2825901.87</v>
      </c>
      <c r="C26" s="20">
        <v>2973302.63</v>
      </c>
      <c r="D26" s="20">
        <v>-147400.75999999978</v>
      </c>
      <c r="E26" s="31">
        <v>-4.9574758557288122E-2</v>
      </c>
      <c r="F26" s="32">
        <v>2825901.87</v>
      </c>
      <c r="G26" s="32">
        <v>2973302.63</v>
      </c>
      <c r="H26" s="32">
        <v>-147400.75999999978</v>
      </c>
      <c r="I26" s="31">
        <v>-4.9574758557288122E-2</v>
      </c>
      <c r="J26" s="23"/>
      <c r="K26" s="23"/>
      <c r="L26" s="23"/>
      <c r="M26" s="32"/>
    </row>
    <row r="27" spans="1:13" x14ac:dyDescent="0.25">
      <c r="A27" s="18" t="s">
        <v>18</v>
      </c>
      <c r="B27" s="20">
        <v>2733254.0100000002</v>
      </c>
      <c r="C27" s="20">
        <v>3899600.8800000004</v>
      </c>
      <c r="D27" s="20">
        <v>-1166346.8700000001</v>
      </c>
      <c r="E27" s="31">
        <v>-0.2990939088104832</v>
      </c>
      <c r="F27" s="32">
        <v>2733254.0100000002</v>
      </c>
      <c r="G27" s="32">
        <v>3899600.8800000004</v>
      </c>
      <c r="H27" s="32">
        <v>-1166346.8700000001</v>
      </c>
      <c r="I27" s="31">
        <v>-0.2990939088104832</v>
      </c>
      <c r="J27" s="23"/>
      <c r="K27" s="23"/>
      <c r="L27" s="23"/>
      <c r="M27" s="32"/>
    </row>
    <row r="28" spans="1:13" x14ac:dyDescent="0.25">
      <c r="A28" s="18" t="s">
        <v>19</v>
      </c>
      <c r="B28" s="20">
        <v>0</v>
      </c>
      <c r="C28" s="20">
        <v>0</v>
      </c>
      <c r="D28" s="20">
        <v>0</v>
      </c>
      <c r="E28" s="31">
        <v>0</v>
      </c>
      <c r="F28" s="32">
        <v>0</v>
      </c>
      <c r="G28" s="32">
        <v>0</v>
      </c>
      <c r="H28" s="32">
        <v>0</v>
      </c>
      <c r="I28" s="31">
        <v>0</v>
      </c>
      <c r="J28" s="23"/>
      <c r="K28" s="23"/>
      <c r="L28" s="23"/>
      <c r="M28" s="32"/>
    </row>
    <row r="29" spans="1:13" x14ac:dyDescent="0.25">
      <c r="A29" s="18" t="s">
        <v>20</v>
      </c>
      <c r="B29" s="20">
        <v>189639.58</v>
      </c>
      <c r="C29" s="20">
        <v>221831.05000000002</v>
      </c>
      <c r="D29" s="20">
        <v>-32191.47000000003</v>
      </c>
      <c r="E29" s="31">
        <v>-0.14511706093443649</v>
      </c>
      <c r="F29" s="32">
        <v>189639.58</v>
      </c>
      <c r="G29" s="32">
        <v>221831.05000000002</v>
      </c>
      <c r="H29" s="32">
        <v>-32191.47000000003</v>
      </c>
      <c r="I29" s="31">
        <v>-0.14511706093443649</v>
      </c>
      <c r="J29" s="23"/>
      <c r="K29" s="23"/>
      <c r="L29" s="23"/>
      <c r="M29" s="32"/>
    </row>
    <row r="30" spans="1:13" x14ac:dyDescent="0.25">
      <c r="A30" s="18" t="s">
        <v>38</v>
      </c>
      <c r="B30" s="20">
        <v>0</v>
      </c>
      <c r="C30" s="20">
        <v>0</v>
      </c>
      <c r="D30" s="20">
        <v>0</v>
      </c>
      <c r="E30" s="31">
        <v>0</v>
      </c>
      <c r="F30" s="32">
        <v>0</v>
      </c>
      <c r="G30" s="32">
        <v>0</v>
      </c>
      <c r="H30" s="32">
        <v>0</v>
      </c>
      <c r="I30" s="31">
        <v>0</v>
      </c>
      <c r="J30" s="23"/>
      <c r="K30" s="23"/>
      <c r="L30" s="23"/>
      <c r="M30" s="32"/>
    </row>
    <row r="31" spans="1:13" x14ac:dyDescent="0.25">
      <c r="A31" s="18" t="s">
        <v>22</v>
      </c>
      <c r="B31" s="20">
        <v>8534430.620000001</v>
      </c>
      <c r="C31" s="20">
        <v>10583023.99</v>
      </c>
      <c r="D31" s="20">
        <v>-2048593.3699999992</v>
      </c>
      <c r="E31" s="31">
        <v>-0.19357353549757939</v>
      </c>
      <c r="F31" s="32">
        <v>8534430.620000001</v>
      </c>
      <c r="G31" s="32">
        <v>10583023.99</v>
      </c>
      <c r="H31" s="32">
        <v>-2048593.3699999992</v>
      </c>
      <c r="I31" s="31">
        <v>-0.19357353549757939</v>
      </c>
      <c r="J31" s="23"/>
      <c r="K31" s="23"/>
      <c r="L31" s="23"/>
      <c r="M31" s="32"/>
    </row>
    <row r="32" spans="1:13" x14ac:dyDescent="0.25">
      <c r="A32" s="18" t="s">
        <v>23</v>
      </c>
      <c r="B32" s="20">
        <v>0</v>
      </c>
      <c r="C32" s="20">
        <v>0</v>
      </c>
      <c r="D32" s="20">
        <v>0</v>
      </c>
      <c r="E32" s="31">
        <v>0</v>
      </c>
      <c r="F32" s="32">
        <v>0</v>
      </c>
      <c r="G32" s="32">
        <v>0</v>
      </c>
      <c r="H32" s="32">
        <v>0</v>
      </c>
      <c r="I32" s="31">
        <v>0</v>
      </c>
      <c r="J32" s="23"/>
      <c r="K32" s="23"/>
      <c r="L32" s="23"/>
      <c r="M32" s="32"/>
    </row>
    <row r="33" spans="1:13" x14ac:dyDescent="0.25">
      <c r="A33" s="18" t="s">
        <v>49</v>
      </c>
      <c r="B33" s="20">
        <v>0</v>
      </c>
      <c r="C33" s="20">
        <v>0</v>
      </c>
      <c r="D33" s="20">
        <v>0</v>
      </c>
      <c r="E33" s="31">
        <v>0</v>
      </c>
      <c r="F33" s="32">
        <v>0</v>
      </c>
      <c r="G33" s="32">
        <v>0</v>
      </c>
      <c r="H33" s="32">
        <v>0</v>
      </c>
      <c r="I33" s="31">
        <v>0</v>
      </c>
      <c r="J33" s="23"/>
      <c r="K33" s="23"/>
      <c r="L33" s="23"/>
      <c r="M33" s="32"/>
    </row>
    <row r="34" spans="1:13" x14ac:dyDescent="0.25">
      <c r="A34" s="18" t="s">
        <v>24</v>
      </c>
      <c r="B34" s="20">
        <v>0</v>
      </c>
      <c r="C34" s="20">
        <v>0</v>
      </c>
      <c r="D34" s="20">
        <v>0</v>
      </c>
      <c r="E34" s="31">
        <v>0</v>
      </c>
      <c r="F34" s="32">
        <v>0</v>
      </c>
      <c r="G34" s="32">
        <v>0</v>
      </c>
      <c r="H34" s="32">
        <v>0</v>
      </c>
      <c r="I34" s="31">
        <v>0</v>
      </c>
      <c r="J34" s="23"/>
      <c r="K34" s="23"/>
      <c r="L34" s="23"/>
      <c r="M34" s="32"/>
    </row>
    <row r="35" spans="1:13" x14ac:dyDescent="0.25">
      <c r="A35" s="18" t="s">
        <v>25</v>
      </c>
      <c r="B35" s="21" t="s">
        <v>66</v>
      </c>
      <c r="C35" s="21" t="s">
        <v>66</v>
      </c>
      <c r="D35" s="21" t="s">
        <v>43</v>
      </c>
      <c r="E35" s="21" t="s">
        <v>42</v>
      </c>
      <c r="F35" s="21" t="s">
        <v>41</v>
      </c>
      <c r="G35" s="37" t="s">
        <v>67</v>
      </c>
      <c r="H35" s="21" t="s">
        <v>40</v>
      </c>
      <c r="I35" s="21" t="s">
        <v>39</v>
      </c>
      <c r="J35" s="23"/>
      <c r="K35" s="23"/>
      <c r="L35" s="23"/>
      <c r="M35" s="32"/>
    </row>
    <row r="36" spans="1:13" x14ac:dyDescent="0.25">
      <c r="A36" s="18" t="s">
        <v>26</v>
      </c>
      <c r="B36" s="20">
        <v>3822995.03</v>
      </c>
      <c r="C36" s="20">
        <v>2760847.0900000003</v>
      </c>
      <c r="D36" s="20">
        <v>1062147.9399999995</v>
      </c>
      <c r="E36" s="31">
        <v>0.3847181337377143</v>
      </c>
      <c r="F36" s="32">
        <v>3822995.03</v>
      </c>
      <c r="G36" s="32">
        <v>2760847.0900000003</v>
      </c>
      <c r="H36" s="32">
        <v>1062147.9399999995</v>
      </c>
      <c r="I36" s="31">
        <v>0.3847181337377143</v>
      </c>
      <c r="J36" s="23"/>
      <c r="K36" s="23"/>
      <c r="L36" s="23"/>
      <c r="M36" s="32"/>
    </row>
    <row r="37" spans="1:13" x14ac:dyDescent="0.25">
      <c r="A37" s="18" t="s">
        <v>27</v>
      </c>
      <c r="B37" s="20">
        <v>28375590.640000001</v>
      </c>
      <c r="C37" s="20">
        <v>18654746.880000003</v>
      </c>
      <c r="D37" s="20">
        <v>9720843.7599999979</v>
      </c>
      <c r="E37" s="31">
        <v>0.52109223580094999</v>
      </c>
      <c r="F37" s="32">
        <v>28375590.640000001</v>
      </c>
      <c r="G37" s="32">
        <v>18654746.880000003</v>
      </c>
      <c r="H37" s="32">
        <v>9720843.7599999979</v>
      </c>
      <c r="I37" s="31">
        <v>0.52109223580094999</v>
      </c>
      <c r="J37" s="23"/>
      <c r="K37" s="23"/>
      <c r="L37" s="23"/>
      <c r="M37" s="32"/>
    </row>
    <row r="38" spans="1:13" x14ac:dyDescent="0.25">
      <c r="A38" s="18" t="s">
        <v>44</v>
      </c>
      <c r="B38" s="20">
        <v>3622439.87</v>
      </c>
      <c r="C38" s="20">
        <v>3640199.35</v>
      </c>
      <c r="D38" s="20">
        <v>-17759.479999999981</v>
      </c>
      <c r="E38" s="31">
        <v>-4.8787108321416469E-3</v>
      </c>
      <c r="F38" s="32">
        <v>3622439.87</v>
      </c>
      <c r="G38" s="32">
        <v>3640199.35</v>
      </c>
      <c r="H38" s="32">
        <v>-17759.479999999981</v>
      </c>
      <c r="I38" s="31">
        <v>-4.8787108321416469E-3</v>
      </c>
      <c r="J38" s="23"/>
      <c r="K38" s="23"/>
      <c r="L38" s="23"/>
      <c r="M38" s="32"/>
    </row>
    <row r="39" spans="1:13" x14ac:dyDescent="0.25">
      <c r="A39" s="18" t="s">
        <v>45</v>
      </c>
      <c r="B39" s="20">
        <v>37278414.640000001</v>
      </c>
      <c r="C39" s="20">
        <v>4535540.74</v>
      </c>
      <c r="D39" s="20">
        <v>32742873.899999999</v>
      </c>
      <c r="E39" s="31">
        <v>7.2191775527960527</v>
      </c>
      <c r="F39" s="32">
        <v>37278414.640000001</v>
      </c>
      <c r="G39" s="32">
        <v>4535540.74</v>
      </c>
      <c r="H39" s="32">
        <v>32742873.899999999</v>
      </c>
      <c r="I39" s="31">
        <v>7.2191775527960527</v>
      </c>
      <c r="J39" s="23"/>
      <c r="K39" s="23"/>
      <c r="L39" s="23"/>
      <c r="M39" s="32"/>
    </row>
    <row r="40" spans="1:13" x14ac:dyDescent="0.25">
      <c r="A40" s="18" t="s">
        <v>46</v>
      </c>
      <c r="B40" s="20">
        <v>5549278.9199999999</v>
      </c>
      <c r="C40" s="20">
        <v>6953586.9900000002</v>
      </c>
      <c r="D40" s="20">
        <v>-1404308.0700000003</v>
      </c>
      <c r="E40" s="31">
        <v>-0.20195448363837903</v>
      </c>
      <c r="F40" s="32">
        <v>5549278.9199999999</v>
      </c>
      <c r="G40" s="32">
        <v>6953586.9900000002</v>
      </c>
      <c r="H40" s="32">
        <v>-1404308.0700000003</v>
      </c>
      <c r="I40" s="31">
        <v>-0.20195448363837903</v>
      </c>
      <c r="J40" s="23"/>
      <c r="K40" s="23"/>
      <c r="L40" s="23"/>
      <c r="M40" s="32"/>
    </row>
    <row r="41" spans="1:13" x14ac:dyDescent="0.25">
      <c r="A41" s="18" t="s">
        <v>47</v>
      </c>
      <c r="B41" s="20">
        <v>2834688.67</v>
      </c>
      <c r="C41" s="20">
        <v>3034643.29</v>
      </c>
      <c r="D41" s="20">
        <v>-199954.62000000011</v>
      </c>
      <c r="E41" s="31">
        <v>-6.5890650363720382E-2</v>
      </c>
      <c r="F41" s="32">
        <v>2834688.67</v>
      </c>
      <c r="G41" s="32">
        <v>3034643.29</v>
      </c>
      <c r="H41" s="32">
        <v>-199954.62000000011</v>
      </c>
      <c r="I41" s="31">
        <v>-6.5890650363720382E-2</v>
      </c>
      <c r="J41" s="23"/>
      <c r="K41" s="23"/>
      <c r="L41" s="23"/>
      <c r="M41" s="32"/>
    </row>
    <row r="42" spans="1:13" x14ac:dyDescent="0.25">
      <c r="A42" s="23"/>
      <c r="B42" s="20"/>
      <c r="C42" s="20"/>
      <c r="D42" s="20"/>
      <c r="E42" s="31"/>
      <c r="F42" s="32"/>
      <c r="G42" s="32"/>
      <c r="H42" s="32"/>
      <c r="I42" s="31"/>
      <c r="J42" s="23"/>
      <c r="K42" s="23"/>
      <c r="L42" s="23"/>
      <c r="M42" s="32"/>
    </row>
    <row r="43" spans="1:13" x14ac:dyDescent="0.25">
      <c r="A43" s="18" t="s">
        <v>28</v>
      </c>
      <c r="B43" s="29" t="s">
        <v>4</v>
      </c>
      <c r="C43" s="29" t="s">
        <v>4</v>
      </c>
      <c r="D43" s="29" t="s">
        <v>4</v>
      </c>
      <c r="E43" s="30" t="s">
        <v>4</v>
      </c>
      <c r="F43" s="30" t="s">
        <v>4</v>
      </c>
      <c r="G43" s="30" t="s">
        <v>4</v>
      </c>
      <c r="H43" s="30" t="s">
        <v>4</v>
      </c>
      <c r="I43" s="30" t="s">
        <v>4</v>
      </c>
      <c r="J43" s="23"/>
      <c r="K43" s="23"/>
      <c r="L43" s="23"/>
      <c r="M43" s="23"/>
    </row>
    <row r="44" spans="1:13" x14ac:dyDescent="0.25">
      <c r="A44" s="23"/>
      <c r="B44" s="20">
        <v>102401551.34999999</v>
      </c>
      <c r="C44" s="20">
        <v>67824314.270000011</v>
      </c>
      <c r="D44" s="20">
        <v>34577237.079999998</v>
      </c>
      <c r="E44" s="31">
        <v>0.50980592214102449</v>
      </c>
      <c r="F44" s="20">
        <v>102401551.34999999</v>
      </c>
      <c r="G44" s="20">
        <v>67824314.270000011</v>
      </c>
      <c r="H44" s="20">
        <v>34577237.079999998</v>
      </c>
      <c r="I44" s="31">
        <v>0.50980592214102449</v>
      </c>
      <c r="J44" s="23"/>
      <c r="K44" s="23"/>
      <c r="L44" s="23"/>
      <c r="M44" s="32"/>
    </row>
    <row r="45" spans="1:13" x14ac:dyDescent="0.25">
      <c r="A45" s="39" t="s">
        <v>29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32"/>
    </row>
    <row r="47" spans="1:13" x14ac:dyDescent="0.25">
      <c r="A47" s="17"/>
    </row>
    <row r="48" spans="1:13" ht="18.75" customHeight="1" x14ac:dyDescent="0.25">
      <c r="A48" s="17"/>
      <c r="B48" s="20"/>
      <c r="C48" s="20"/>
      <c r="D48" s="20"/>
      <c r="E48" s="23"/>
      <c r="F48" s="32"/>
      <c r="G48" s="32"/>
      <c r="H48" s="32"/>
      <c r="I48" s="23"/>
      <c r="J48" s="23"/>
      <c r="K48" s="23"/>
      <c r="L48" s="23"/>
      <c r="M48" s="38"/>
    </row>
    <row r="49" spans="1:13" x14ac:dyDescent="0.25">
      <c r="A49" s="17"/>
      <c r="B49" s="23"/>
      <c r="C49" s="20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3" spans="1:13" x14ac:dyDescent="0.25">
      <c r="B53" s="20"/>
      <c r="C53" s="20"/>
      <c r="D53" s="20"/>
      <c r="E53" s="23"/>
      <c r="F53" s="32"/>
      <c r="G53" s="32"/>
      <c r="H53" s="32"/>
      <c r="I53" s="23"/>
      <c r="J53" s="23"/>
      <c r="K53" s="23"/>
      <c r="L53" s="23"/>
      <c r="M53" s="38"/>
    </row>
  </sheetData>
  <mergeCells count="2">
    <mergeCell ref="A1:I1"/>
    <mergeCell ref="A2:I2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390A-D418-4375-8340-89CA55ECA51F}">
  <sheetPr>
    <pageSetUpPr fitToPage="1"/>
  </sheetPr>
  <dimension ref="A1:M53"/>
  <sheetViews>
    <sheetView topLeftCell="A15" zoomScaleNormal="100" workbookViewId="0">
      <selection sqref="A1:I1"/>
    </sheetView>
  </sheetViews>
  <sheetFormatPr defaultRowHeight="15" x14ac:dyDescent="0.25"/>
  <cols>
    <col min="1" max="1" width="73.140625" bestFit="1" customWidth="1"/>
    <col min="2" max="2" width="15.28515625" customWidth="1"/>
    <col min="3" max="4" width="14.42578125" customWidth="1"/>
    <col min="5" max="5" width="11.85546875" bestFit="1" customWidth="1"/>
    <col min="6" max="6" width="15.85546875" customWidth="1"/>
    <col min="7" max="7" width="15.7109375" customWidth="1"/>
    <col min="8" max="8" width="15" bestFit="1" customWidth="1"/>
    <col min="9" max="9" width="10.140625" customWidth="1"/>
    <col min="14" max="14" width="15.5703125" bestFit="1" customWidth="1"/>
    <col min="15" max="15" width="16.28515625" bestFit="1" customWidth="1"/>
  </cols>
  <sheetData>
    <row r="1" spans="1:13" ht="18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6"/>
      <c r="K1" s="23"/>
      <c r="L1" s="23"/>
      <c r="M1" s="23"/>
    </row>
    <row r="2" spans="1:13" x14ac:dyDescent="0.25">
      <c r="A2" s="49" t="s">
        <v>71</v>
      </c>
      <c r="B2" s="49"/>
      <c r="C2" s="49"/>
      <c r="D2" s="49"/>
      <c r="E2" s="49"/>
      <c r="F2" s="49"/>
      <c r="G2" s="49"/>
      <c r="H2" s="49"/>
      <c r="I2" s="49"/>
      <c r="J2" s="26"/>
      <c r="K2" s="23"/>
      <c r="L2" s="23"/>
      <c r="M2" s="23"/>
    </row>
    <row r="3" spans="1:13" x14ac:dyDescent="0.25">
      <c r="A3" s="22"/>
      <c r="B3" s="23"/>
      <c r="C3" s="24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x14ac:dyDescent="0.25">
      <c r="A4" s="22"/>
      <c r="B4" s="23"/>
      <c r="C4" s="23"/>
      <c r="D4" s="25" t="s">
        <v>30</v>
      </c>
      <c r="E4" s="23"/>
      <c r="F4" s="26" t="s">
        <v>31</v>
      </c>
      <c r="G4" s="26" t="s">
        <v>32</v>
      </c>
      <c r="H4" s="27" t="s">
        <v>30</v>
      </c>
      <c r="I4" s="23"/>
      <c r="J4" s="23"/>
      <c r="K4" s="23"/>
      <c r="L4" s="23"/>
      <c r="M4" s="23"/>
    </row>
    <row r="5" spans="1:13" x14ac:dyDescent="0.25">
      <c r="A5" s="23"/>
      <c r="B5" s="28" t="s">
        <v>70</v>
      </c>
      <c r="C5" s="25" t="s">
        <v>51</v>
      </c>
      <c r="D5" s="24" t="s">
        <v>33</v>
      </c>
      <c r="E5" s="26" t="s">
        <v>34</v>
      </c>
      <c r="F5" s="26" t="s">
        <v>35</v>
      </c>
      <c r="G5" s="26" t="s">
        <v>35</v>
      </c>
      <c r="H5" s="26" t="s">
        <v>33</v>
      </c>
      <c r="I5" s="26" t="s">
        <v>34</v>
      </c>
      <c r="J5" s="23"/>
      <c r="K5" s="23"/>
      <c r="L5" s="23"/>
      <c r="M5" s="26"/>
    </row>
    <row r="6" spans="1:13" x14ac:dyDescent="0.25">
      <c r="A6" s="23"/>
      <c r="B6" s="29" t="s">
        <v>4</v>
      </c>
      <c r="C6" s="29" t="s">
        <v>4</v>
      </c>
      <c r="D6" s="29" t="s">
        <v>4</v>
      </c>
      <c r="E6" s="30" t="s">
        <v>4</v>
      </c>
      <c r="F6" s="30" t="s">
        <v>4</v>
      </c>
      <c r="G6" s="30" t="s">
        <v>4</v>
      </c>
      <c r="H6" s="30" t="s">
        <v>4</v>
      </c>
      <c r="I6" s="30" t="s">
        <v>4</v>
      </c>
      <c r="J6" s="23"/>
      <c r="K6" s="23"/>
      <c r="L6" s="23"/>
      <c r="M6" s="26"/>
    </row>
    <row r="7" spans="1:13" x14ac:dyDescent="0.25">
      <c r="A7" s="14" t="s">
        <v>69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38"/>
    </row>
    <row r="8" spans="1:13" x14ac:dyDescent="0.25">
      <c r="A8" s="14" t="s">
        <v>36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x14ac:dyDescent="0.25">
      <c r="A9" s="1" t="s">
        <v>5</v>
      </c>
      <c r="B9" s="20">
        <v>169261573.91</v>
      </c>
      <c r="C9" s="20">
        <v>143848832.50999999</v>
      </c>
      <c r="D9" s="20">
        <v>25412741.400000006</v>
      </c>
      <c r="E9" s="31">
        <v>0.17666282691750995</v>
      </c>
      <c r="F9" s="32">
        <v>311530432.69</v>
      </c>
      <c r="G9" s="32">
        <v>291315838.78999996</v>
      </c>
      <c r="H9" s="32">
        <v>20214593.900000036</v>
      </c>
      <c r="I9" s="31">
        <v>6.939064482028412E-2</v>
      </c>
      <c r="J9" s="23"/>
      <c r="K9" s="23"/>
      <c r="L9" s="23"/>
      <c r="M9" s="32"/>
    </row>
    <row r="10" spans="1:13" x14ac:dyDescent="0.25">
      <c r="A10" s="1" t="s">
        <v>6</v>
      </c>
      <c r="B10" s="20">
        <v>212266695.69</v>
      </c>
      <c r="C10" s="20">
        <v>184343985.5</v>
      </c>
      <c r="D10" s="20">
        <v>27922710.189999998</v>
      </c>
      <c r="E10" s="31">
        <v>0.15147068733631128</v>
      </c>
      <c r="F10" s="32">
        <v>391204835.39999998</v>
      </c>
      <c r="G10" s="32">
        <v>368854752.94</v>
      </c>
      <c r="H10" s="32">
        <v>22350082.459999979</v>
      </c>
      <c r="I10" s="31">
        <v>6.0593180057613542E-2</v>
      </c>
      <c r="J10" s="23"/>
      <c r="K10" s="23"/>
      <c r="L10" s="23"/>
      <c r="M10" s="32"/>
    </row>
    <row r="11" spans="1:13" x14ac:dyDescent="0.25">
      <c r="A11" s="1" t="s">
        <v>7</v>
      </c>
      <c r="B11" s="20">
        <v>40561469.420000002</v>
      </c>
      <c r="C11" s="20">
        <v>35408418.899999999</v>
      </c>
      <c r="D11" s="20">
        <v>5153050.5200000033</v>
      </c>
      <c r="E11" s="31">
        <v>0.14553178820418902</v>
      </c>
      <c r="F11" s="32">
        <v>74964931.920000002</v>
      </c>
      <c r="G11" s="32">
        <v>70863311.859999999</v>
      </c>
      <c r="H11" s="32">
        <v>4101620.0600000024</v>
      </c>
      <c r="I11" s="31">
        <v>5.7880727732614365E-2</v>
      </c>
      <c r="J11" s="23"/>
      <c r="K11" s="23"/>
      <c r="L11" s="23"/>
      <c r="M11" s="32"/>
    </row>
    <row r="12" spans="1:13" x14ac:dyDescent="0.25">
      <c r="A12" s="1" t="s">
        <v>8</v>
      </c>
      <c r="B12" s="20">
        <v>141948101.43000001</v>
      </c>
      <c r="C12" s="20">
        <v>123907984.8</v>
      </c>
      <c r="D12" s="20">
        <v>18040116.63000001</v>
      </c>
      <c r="E12" s="31">
        <v>0.14559284988064797</v>
      </c>
      <c r="F12" s="32">
        <v>262347773.00999999</v>
      </c>
      <c r="G12" s="32">
        <v>247978504.66</v>
      </c>
      <c r="H12" s="32">
        <v>14369268.349999994</v>
      </c>
      <c r="I12" s="31">
        <v>5.7945620608130959E-2</v>
      </c>
      <c r="J12" s="23"/>
      <c r="K12" s="23"/>
      <c r="L12" s="23"/>
      <c r="M12" s="32"/>
    </row>
    <row r="13" spans="1:13" x14ac:dyDescent="0.25">
      <c r="A13" s="1" t="s">
        <v>9</v>
      </c>
      <c r="B13" s="20">
        <v>110175892.54000001</v>
      </c>
      <c r="C13" s="20">
        <v>96824506.890000001</v>
      </c>
      <c r="D13" s="20">
        <v>13351385.650000006</v>
      </c>
      <c r="E13" s="31">
        <v>0.13789262738170405</v>
      </c>
      <c r="F13" s="32">
        <v>204489667.67000002</v>
      </c>
      <c r="G13" s="32">
        <v>193976847.90000001</v>
      </c>
      <c r="H13" s="32">
        <v>10512819.770000011</v>
      </c>
      <c r="I13" s="31">
        <v>5.4196260449698802E-2</v>
      </c>
      <c r="J13" s="23"/>
      <c r="K13" s="23"/>
      <c r="L13" s="23"/>
      <c r="M13" s="32"/>
    </row>
    <row r="14" spans="1:13" x14ac:dyDescent="0.25">
      <c r="A14" s="23"/>
      <c r="B14" s="29" t="s">
        <v>4</v>
      </c>
      <c r="C14" s="29" t="s">
        <v>4</v>
      </c>
      <c r="D14" s="29" t="s">
        <v>4</v>
      </c>
      <c r="E14" s="30" t="s">
        <v>4</v>
      </c>
      <c r="F14" s="30" t="s">
        <v>4</v>
      </c>
      <c r="G14" s="30" t="s">
        <v>4</v>
      </c>
      <c r="H14" s="30" t="s">
        <v>4</v>
      </c>
      <c r="I14" s="30" t="s">
        <v>4</v>
      </c>
      <c r="J14" s="23"/>
      <c r="K14" s="23"/>
      <c r="L14" s="23"/>
      <c r="M14" s="32"/>
    </row>
    <row r="15" spans="1:13" x14ac:dyDescent="0.25">
      <c r="A15" s="18" t="s">
        <v>10</v>
      </c>
      <c r="B15" s="20">
        <v>674213732.99000001</v>
      </c>
      <c r="C15" s="33">
        <v>584333728.60000002</v>
      </c>
      <c r="D15" s="33">
        <v>89880004.390000015</v>
      </c>
      <c r="E15" s="34">
        <v>0.15381621835409487</v>
      </c>
      <c r="F15" s="35">
        <v>1244537640.6899998</v>
      </c>
      <c r="G15" s="35">
        <v>1172989256.1500001</v>
      </c>
      <c r="H15" s="35">
        <v>71548384.540000021</v>
      </c>
      <c r="I15" s="34">
        <v>6.0996623937406742E-2</v>
      </c>
      <c r="J15" s="18"/>
      <c r="K15" s="23"/>
      <c r="L15" s="23"/>
      <c r="M15" s="23"/>
    </row>
    <row r="16" spans="1:13" x14ac:dyDescent="0.25">
      <c r="A16" s="23"/>
      <c r="B16" s="20"/>
      <c r="C16" s="20"/>
      <c r="D16" s="23"/>
      <c r="E16" s="31"/>
      <c r="F16" s="23"/>
      <c r="G16" s="23"/>
      <c r="H16" s="23"/>
      <c r="I16" s="23"/>
      <c r="J16" s="23"/>
      <c r="K16" s="23"/>
      <c r="L16" s="23"/>
      <c r="M16" s="23"/>
    </row>
    <row r="17" spans="1:13" x14ac:dyDescent="0.25">
      <c r="A17" s="18" t="s">
        <v>11</v>
      </c>
      <c r="B17" s="20">
        <v>0</v>
      </c>
      <c r="C17" s="20">
        <v>0</v>
      </c>
      <c r="D17" s="20">
        <v>0</v>
      </c>
      <c r="E17" s="31">
        <v>0</v>
      </c>
      <c r="F17" s="32">
        <v>0</v>
      </c>
      <c r="G17" s="32">
        <v>0</v>
      </c>
      <c r="H17" s="32">
        <v>0</v>
      </c>
      <c r="I17" s="31">
        <v>0</v>
      </c>
      <c r="J17" s="23"/>
      <c r="K17" s="23"/>
      <c r="L17" s="23"/>
      <c r="M17" s="32"/>
    </row>
    <row r="18" spans="1:13" x14ac:dyDescent="0.25">
      <c r="A18" s="18" t="s">
        <v>12</v>
      </c>
      <c r="B18" s="20">
        <v>0</v>
      </c>
      <c r="C18" s="20">
        <v>0</v>
      </c>
      <c r="D18" s="20">
        <v>0</v>
      </c>
      <c r="E18" s="31">
        <v>0</v>
      </c>
      <c r="F18" s="32">
        <v>0</v>
      </c>
      <c r="G18" s="32">
        <v>0</v>
      </c>
      <c r="H18" s="32">
        <v>0</v>
      </c>
      <c r="I18" s="31">
        <v>0</v>
      </c>
      <c r="J18" s="23"/>
      <c r="K18" s="23"/>
      <c r="L18" s="23"/>
      <c r="M18" s="32"/>
    </row>
    <row r="19" spans="1:13" x14ac:dyDescent="0.25">
      <c r="A19" s="23"/>
      <c r="B19" s="29" t="s">
        <v>4</v>
      </c>
      <c r="C19" s="29" t="s">
        <v>4</v>
      </c>
      <c r="D19" s="29" t="s">
        <v>4</v>
      </c>
      <c r="E19" s="30" t="s">
        <v>4</v>
      </c>
      <c r="F19" s="30" t="s">
        <v>4</v>
      </c>
      <c r="G19" s="30" t="s">
        <v>4</v>
      </c>
      <c r="H19" s="30" t="s">
        <v>4</v>
      </c>
      <c r="I19" s="30" t="s">
        <v>4</v>
      </c>
      <c r="J19" s="23"/>
      <c r="K19" s="23"/>
      <c r="L19" s="23"/>
      <c r="M19" s="32"/>
    </row>
    <row r="20" spans="1:13" x14ac:dyDescent="0.25">
      <c r="A20" s="18" t="s">
        <v>13</v>
      </c>
      <c r="B20" s="20">
        <v>674213732.99000001</v>
      </c>
      <c r="C20" s="20">
        <v>584333728.60000002</v>
      </c>
      <c r="D20" s="20">
        <v>89880004.390000015</v>
      </c>
      <c r="E20" s="31">
        <v>0.15381621835409487</v>
      </c>
      <c r="F20" s="20">
        <v>1244537640.6899998</v>
      </c>
      <c r="G20" s="20">
        <v>1172989256.1500001</v>
      </c>
      <c r="H20" s="20">
        <v>71548384.540000021</v>
      </c>
      <c r="I20" s="31">
        <v>6.0996623937406742E-2</v>
      </c>
      <c r="J20" s="23"/>
      <c r="K20" s="23"/>
      <c r="L20" s="23"/>
      <c r="M20" s="32"/>
    </row>
    <row r="21" spans="1:13" x14ac:dyDescent="0.25">
      <c r="A21" s="18"/>
      <c r="B21" s="20"/>
      <c r="C21" s="20"/>
      <c r="D21" s="20"/>
      <c r="E21" s="31"/>
      <c r="F21" s="32"/>
      <c r="G21" s="32"/>
      <c r="H21" s="32"/>
      <c r="I21" s="31"/>
      <c r="J21" s="23"/>
      <c r="K21" s="23"/>
      <c r="L21" s="23"/>
      <c r="M21" s="32"/>
    </row>
    <row r="22" spans="1:13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32"/>
    </row>
    <row r="23" spans="1:13" x14ac:dyDescent="0.25">
      <c r="A23" s="14" t="s">
        <v>68</v>
      </c>
      <c r="B23" s="20"/>
      <c r="C23" s="20"/>
      <c r="D23" s="20"/>
      <c r="E23" s="31"/>
      <c r="F23" s="32"/>
      <c r="G23" s="32"/>
      <c r="H23" s="32"/>
      <c r="I23" s="31"/>
      <c r="J23" s="23"/>
      <c r="K23" s="23"/>
      <c r="L23" s="23"/>
      <c r="M23" s="32"/>
    </row>
    <row r="24" spans="1:13" x14ac:dyDescent="0.25">
      <c r="A24" s="36" t="s">
        <v>37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32"/>
    </row>
    <row r="25" spans="1:13" x14ac:dyDescent="0.25">
      <c r="A25" s="18" t="s">
        <v>16</v>
      </c>
      <c r="B25" s="20">
        <v>10126620</v>
      </c>
      <c r="C25" s="20">
        <v>10719135</v>
      </c>
      <c r="D25" s="20">
        <v>-592515</v>
      </c>
      <c r="E25" s="31">
        <v>-5.5276381909547742E-2</v>
      </c>
      <c r="F25" s="32">
        <v>16761537.5</v>
      </c>
      <c r="G25" s="32">
        <v>21286126.380000003</v>
      </c>
      <c r="H25" s="32">
        <v>-4524588.8800000027</v>
      </c>
      <c r="I25" s="31">
        <v>-0.21256046305593729</v>
      </c>
      <c r="J25" s="23"/>
      <c r="K25" s="23"/>
      <c r="L25" s="23"/>
      <c r="M25" s="32"/>
    </row>
    <row r="26" spans="1:13" x14ac:dyDescent="0.25">
      <c r="A26" s="18" t="s">
        <v>17</v>
      </c>
      <c r="B26" s="20">
        <v>2970152.96</v>
      </c>
      <c r="C26" s="20">
        <v>2642598.69</v>
      </c>
      <c r="D26" s="20">
        <v>327554.27</v>
      </c>
      <c r="E26" s="31">
        <v>0.12395157510654788</v>
      </c>
      <c r="F26" s="32">
        <v>5796054.8300000001</v>
      </c>
      <c r="G26" s="32">
        <v>5615901.3200000003</v>
      </c>
      <c r="H26" s="32">
        <v>180153.50999999978</v>
      </c>
      <c r="I26" s="31">
        <v>3.2079180123485464E-2</v>
      </c>
      <c r="J26" s="23"/>
      <c r="K26" s="23"/>
      <c r="L26" s="23"/>
      <c r="M26" s="32"/>
    </row>
    <row r="27" spans="1:13" x14ac:dyDescent="0.25">
      <c r="A27" s="18" t="s">
        <v>18</v>
      </c>
      <c r="B27" s="20">
        <v>8144484.4699999997</v>
      </c>
      <c r="C27" s="20">
        <v>4502829.78</v>
      </c>
      <c r="D27" s="20">
        <v>3641654.6899999995</v>
      </c>
      <c r="E27" s="31">
        <v>0.80874802466994422</v>
      </c>
      <c r="F27" s="32">
        <v>10877738.48</v>
      </c>
      <c r="G27" s="32">
        <v>8402430.6600000001</v>
      </c>
      <c r="H27" s="32">
        <v>2475307.8200000003</v>
      </c>
      <c r="I27" s="31">
        <v>0.29459425732410627</v>
      </c>
      <c r="J27" s="23"/>
      <c r="K27" s="23"/>
      <c r="L27" s="23"/>
      <c r="M27" s="32"/>
    </row>
    <row r="28" spans="1:13" x14ac:dyDescent="0.25">
      <c r="A28" s="18" t="s">
        <v>19</v>
      </c>
      <c r="B28" s="20">
        <v>0</v>
      </c>
      <c r="C28" s="20">
        <v>0</v>
      </c>
      <c r="D28" s="20">
        <v>0</v>
      </c>
      <c r="E28" s="31">
        <v>0</v>
      </c>
      <c r="F28" s="32">
        <v>0</v>
      </c>
      <c r="G28" s="32">
        <v>0</v>
      </c>
      <c r="H28" s="32">
        <v>0</v>
      </c>
      <c r="I28" s="31">
        <v>0</v>
      </c>
      <c r="J28" s="23"/>
      <c r="K28" s="23"/>
      <c r="L28" s="23"/>
      <c r="M28" s="32"/>
    </row>
    <row r="29" spans="1:13" x14ac:dyDescent="0.25">
      <c r="A29" s="18" t="s">
        <v>20</v>
      </c>
      <c r="B29" s="20">
        <v>201584.66999999998</v>
      </c>
      <c r="C29" s="20">
        <v>216122.1</v>
      </c>
      <c r="D29" s="20">
        <v>-14537.430000000022</v>
      </c>
      <c r="E29" s="31">
        <v>-6.7264893317249927E-2</v>
      </c>
      <c r="F29" s="32">
        <v>391224.25</v>
      </c>
      <c r="G29" s="32">
        <v>437953.15</v>
      </c>
      <c r="H29" s="32">
        <v>-46728.900000000023</v>
      </c>
      <c r="I29" s="31">
        <v>-0.10669839913241866</v>
      </c>
      <c r="J29" s="23"/>
      <c r="K29" s="23"/>
      <c r="L29" s="23"/>
      <c r="M29" s="32"/>
    </row>
    <row r="30" spans="1:13" x14ac:dyDescent="0.25">
      <c r="A30" s="18" t="s">
        <v>38</v>
      </c>
      <c r="B30" s="20">
        <v>0</v>
      </c>
      <c r="C30" s="20">
        <v>0</v>
      </c>
      <c r="D30" s="20">
        <v>0</v>
      </c>
      <c r="E30" s="31">
        <v>0</v>
      </c>
      <c r="F30" s="32">
        <v>0</v>
      </c>
      <c r="G30" s="32">
        <v>0</v>
      </c>
      <c r="H30" s="32">
        <v>0</v>
      </c>
      <c r="I30" s="31">
        <v>0</v>
      </c>
      <c r="J30" s="23"/>
      <c r="K30" s="23"/>
      <c r="L30" s="23"/>
      <c r="M30" s="32"/>
    </row>
    <row r="31" spans="1:13" x14ac:dyDescent="0.25">
      <c r="A31" s="18" t="s">
        <v>22</v>
      </c>
      <c r="B31" s="20">
        <v>9709465.5099999998</v>
      </c>
      <c r="C31" s="20">
        <v>6540177.7999999998</v>
      </c>
      <c r="D31" s="20">
        <v>3169287.71</v>
      </c>
      <c r="E31" s="31">
        <v>0.48458739302163928</v>
      </c>
      <c r="F31" s="32">
        <v>18243896.130000003</v>
      </c>
      <c r="G31" s="32">
        <v>17123201.789999999</v>
      </c>
      <c r="H31" s="32">
        <v>1120694.3400000036</v>
      </c>
      <c r="I31" s="31">
        <v>6.5448877712490222E-2</v>
      </c>
      <c r="J31" s="23"/>
      <c r="K31" s="23"/>
      <c r="L31" s="23"/>
      <c r="M31" s="32"/>
    </row>
    <row r="32" spans="1:13" x14ac:dyDescent="0.25">
      <c r="A32" s="18" t="s">
        <v>23</v>
      </c>
      <c r="B32" s="20">
        <v>0</v>
      </c>
      <c r="C32" s="20">
        <v>0</v>
      </c>
      <c r="D32" s="20">
        <v>0</v>
      </c>
      <c r="E32" s="31">
        <v>0</v>
      </c>
      <c r="F32" s="32">
        <v>0</v>
      </c>
      <c r="G32" s="32">
        <v>0</v>
      </c>
      <c r="H32" s="32">
        <v>0</v>
      </c>
      <c r="I32" s="31">
        <v>0</v>
      </c>
      <c r="J32" s="23"/>
      <c r="K32" s="23"/>
      <c r="L32" s="23"/>
      <c r="M32" s="32"/>
    </row>
    <row r="33" spans="1:13" x14ac:dyDescent="0.25">
      <c r="A33" s="18" t="s">
        <v>49</v>
      </c>
      <c r="B33" s="20">
        <v>0</v>
      </c>
      <c r="C33" s="20">
        <v>0</v>
      </c>
      <c r="D33" s="20">
        <v>0</v>
      </c>
      <c r="E33" s="31">
        <v>0</v>
      </c>
      <c r="F33" s="32">
        <v>0</v>
      </c>
      <c r="G33" s="32">
        <v>0</v>
      </c>
      <c r="H33" s="32">
        <v>0</v>
      </c>
      <c r="I33" s="31">
        <v>0</v>
      </c>
      <c r="J33" s="23"/>
      <c r="K33" s="23"/>
      <c r="L33" s="23"/>
      <c r="M33" s="32"/>
    </row>
    <row r="34" spans="1:13" x14ac:dyDescent="0.25">
      <c r="A34" s="18" t="s">
        <v>24</v>
      </c>
      <c r="B34" s="20">
        <v>0</v>
      </c>
      <c r="C34" s="20">
        <v>0</v>
      </c>
      <c r="D34" s="20">
        <v>0</v>
      </c>
      <c r="E34" s="31">
        <v>0</v>
      </c>
      <c r="F34" s="32">
        <v>0</v>
      </c>
      <c r="G34" s="32">
        <v>0</v>
      </c>
      <c r="H34" s="32">
        <v>0</v>
      </c>
      <c r="I34" s="31">
        <v>0</v>
      </c>
      <c r="J34" s="23"/>
      <c r="K34" s="23"/>
      <c r="L34" s="23"/>
      <c r="M34" s="32"/>
    </row>
    <row r="35" spans="1:13" x14ac:dyDescent="0.25">
      <c r="A35" s="18" t="s">
        <v>25</v>
      </c>
      <c r="B35" s="21" t="s">
        <v>66</v>
      </c>
      <c r="C35" s="21" t="s">
        <v>66</v>
      </c>
      <c r="D35" s="21" t="s">
        <v>43</v>
      </c>
      <c r="E35" s="21" t="s">
        <v>42</v>
      </c>
      <c r="F35" s="21" t="s">
        <v>41</v>
      </c>
      <c r="G35" s="37" t="s">
        <v>67</v>
      </c>
      <c r="H35" s="21" t="s">
        <v>40</v>
      </c>
      <c r="I35" s="21" t="s">
        <v>39</v>
      </c>
      <c r="J35" s="23"/>
      <c r="K35" s="23"/>
      <c r="L35" s="23"/>
      <c r="M35" s="32"/>
    </row>
    <row r="36" spans="1:13" x14ac:dyDescent="0.25">
      <c r="A36" s="18" t="s">
        <v>26</v>
      </c>
      <c r="B36" s="20">
        <v>103611.92</v>
      </c>
      <c r="C36" s="20">
        <v>2523460.91</v>
      </c>
      <c r="D36" s="20">
        <v>-2419848.9900000002</v>
      </c>
      <c r="E36" s="31">
        <v>-0.95894054883536917</v>
      </c>
      <c r="F36" s="32">
        <v>3926606.9499999997</v>
      </c>
      <c r="G36" s="32">
        <v>5284308</v>
      </c>
      <c r="H36" s="32">
        <v>-1357701.0500000003</v>
      </c>
      <c r="I36" s="31">
        <v>-0.25693071827001762</v>
      </c>
      <c r="J36" s="23"/>
      <c r="K36" s="23"/>
      <c r="L36" s="23"/>
      <c r="M36" s="32"/>
    </row>
    <row r="37" spans="1:13" x14ac:dyDescent="0.25">
      <c r="A37" s="18" t="s">
        <v>27</v>
      </c>
      <c r="B37" s="20">
        <v>206665.31</v>
      </c>
      <c r="C37" s="20">
        <v>17742155.09</v>
      </c>
      <c r="D37" s="20">
        <v>-17535489.780000001</v>
      </c>
      <c r="E37" s="31">
        <v>-0.98835173579806657</v>
      </c>
      <c r="F37" s="32">
        <v>28582255.949999999</v>
      </c>
      <c r="G37" s="32">
        <v>36396901.969999999</v>
      </c>
      <c r="H37" s="32">
        <v>-7814646.0199999996</v>
      </c>
      <c r="I37" s="31">
        <v>-0.21470635128344689</v>
      </c>
      <c r="J37" s="23"/>
      <c r="K37" s="23"/>
      <c r="L37" s="23"/>
      <c r="M37" s="32"/>
    </row>
    <row r="38" spans="1:13" x14ac:dyDescent="0.25">
      <c r="A38" s="18" t="s">
        <v>44</v>
      </c>
      <c r="B38" s="20">
        <v>3734030.61</v>
      </c>
      <c r="C38" s="20">
        <v>3769386.09</v>
      </c>
      <c r="D38" s="20">
        <v>-35355.479999999981</v>
      </c>
      <c r="E38" s="31">
        <v>-9.3796387941782796E-3</v>
      </c>
      <c r="F38" s="32">
        <v>7356470.4800000004</v>
      </c>
      <c r="G38" s="32">
        <v>7409585.4399999995</v>
      </c>
      <c r="H38" s="32">
        <v>-53114.959999999031</v>
      </c>
      <c r="I38" s="31">
        <v>-7.1684118403254468E-3</v>
      </c>
      <c r="J38" s="23"/>
      <c r="K38" s="23"/>
      <c r="L38" s="23"/>
      <c r="M38" s="32"/>
    </row>
    <row r="39" spans="1:13" x14ac:dyDescent="0.25">
      <c r="A39" s="18" t="s">
        <v>45</v>
      </c>
      <c r="B39" s="20">
        <v>33765635.229999997</v>
      </c>
      <c r="C39" s="20">
        <v>7494698.0800000001</v>
      </c>
      <c r="D39" s="20">
        <v>26270937.149999999</v>
      </c>
      <c r="E39" s="31">
        <v>3.5052695745150015</v>
      </c>
      <c r="F39" s="32">
        <v>71044049.870000005</v>
      </c>
      <c r="G39" s="32">
        <v>12030238.82</v>
      </c>
      <c r="H39" s="32">
        <v>59013811.050000004</v>
      </c>
      <c r="I39" s="31">
        <v>4.9054563199436139</v>
      </c>
      <c r="J39" s="23"/>
      <c r="K39" s="23"/>
      <c r="L39" s="23"/>
      <c r="M39" s="32"/>
    </row>
    <row r="40" spans="1:13" x14ac:dyDescent="0.25">
      <c r="A40" s="18" t="s">
        <v>46</v>
      </c>
      <c r="B40" s="20">
        <v>6169999</v>
      </c>
      <c r="C40" s="20">
        <v>5355536.3899999997</v>
      </c>
      <c r="D40" s="20">
        <v>814462.61000000034</v>
      </c>
      <c r="E40" s="31">
        <v>0.15207862493863111</v>
      </c>
      <c r="F40" s="32">
        <v>11719277.92</v>
      </c>
      <c r="G40" s="32">
        <v>12309123.379999999</v>
      </c>
      <c r="H40" s="32">
        <v>-589845.45999999903</v>
      </c>
      <c r="I40" s="31">
        <v>-4.791937181801155E-2</v>
      </c>
      <c r="J40" s="23"/>
      <c r="K40" s="23"/>
      <c r="L40" s="23"/>
      <c r="M40" s="32"/>
    </row>
    <row r="41" spans="1:13" x14ac:dyDescent="0.25">
      <c r="A41" s="18" t="s">
        <v>47</v>
      </c>
      <c r="B41" s="20">
        <v>3480811.5300000003</v>
      </c>
      <c r="C41" s="20">
        <v>2533902.13</v>
      </c>
      <c r="D41" s="20">
        <v>946909.40000000037</v>
      </c>
      <c r="E41" s="31">
        <v>0.37369612219395404</v>
      </c>
      <c r="F41" s="32">
        <v>6315500.2000000002</v>
      </c>
      <c r="G41" s="32">
        <v>5568545.4199999999</v>
      </c>
      <c r="H41" s="32">
        <v>746954.78000000026</v>
      </c>
      <c r="I41" s="31">
        <v>0.13413822168303338</v>
      </c>
      <c r="J41" s="23"/>
      <c r="K41" s="23"/>
      <c r="L41" s="23"/>
      <c r="M41" s="32"/>
    </row>
    <row r="42" spans="1:13" x14ac:dyDescent="0.25">
      <c r="A42" s="23"/>
      <c r="B42" s="20"/>
      <c r="C42" s="23"/>
      <c r="D42" s="20"/>
      <c r="E42" s="31"/>
      <c r="F42" s="32"/>
      <c r="G42" s="32"/>
      <c r="H42" s="32"/>
      <c r="I42" s="31"/>
      <c r="J42" s="23"/>
      <c r="K42" s="23"/>
      <c r="L42" s="23"/>
      <c r="M42" s="32"/>
    </row>
    <row r="43" spans="1:13" x14ac:dyDescent="0.25">
      <c r="A43" s="18" t="s">
        <v>28</v>
      </c>
      <c r="B43" s="29" t="s">
        <v>4</v>
      </c>
      <c r="C43" s="29" t="s">
        <v>4</v>
      </c>
      <c r="D43" s="29" t="s">
        <v>4</v>
      </c>
      <c r="E43" s="30" t="s">
        <v>4</v>
      </c>
      <c r="F43" s="30" t="s">
        <v>4</v>
      </c>
      <c r="G43" s="30" t="s">
        <v>4</v>
      </c>
      <c r="H43" s="30" t="s">
        <v>4</v>
      </c>
      <c r="I43" s="30" t="s">
        <v>4</v>
      </c>
      <c r="J43" s="23"/>
      <c r="K43" s="23"/>
      <c r="L43" s="23"/>
      <c r="M43" s="23"/>
    </row>
    <row r="44" spans="1:13" x14ac:dyDescent="0.25">
      <c r="A44" s="23"/>
      <c r="B44" s="20">
        <v>78613061.210000008</v>
      </c>
      <c r="C44" s="20">
        <v>64040002.06000001</v>
      </c>
      <c r="D44" s="20">
        <v>14573059.149999997</v>
      </c>
      <c r="E44" s="31">
        <v>0.22756181575925444</v>
      </c>
      <c r="F44" s="20">
        <v>181014612.55999997</v>
      </c>
      <c r="G44" s="20">
        <v>131864316.33</v>
      </c>
      <c r="H44" s="20">
        <v>49150296.230000004</v>
      </c>
      <c r="I44" s="31">
        <v>0.37273386461124047</v>
      </c>
      <c r="J44" s="23"/>
      <c r="K44" s="23"/>
      <c r="L44" s="23"/>
      <c r="M44" s="32"/>
    </row>
    <row r="45" spans="1:13" x14ac:dyDescent="0.25">
      <c r="A45" s="39" t="s">
        <v>29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32"/>
    </row>
    <row r="48" spans="1:13" x14ac:dyDescent="0.25">
      <c r="A48" s="23"/>
      <c r="B48" s="20"/>
      <c r="C48" s="20"/>
      <c r="D48" s="20"/>
      <c r="E48" s="23"/>
      <c r="F48" s="32"/>
      <c r="G48" s="32"/>
      <c r="H48" s="32"/>
      <c r="I48" s="23"/>
      <c r="J48" s="23"/>
      <c r="K48" s="23"/>
      <c r="L48" s="23"/>
      <c r="M48" s="38"/>
    </row>
    <row r="49" spans="1:13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3" spans="1:13" x14ac:dyDescent="0.25">
      <c r="B53" s="20"/>
      <c r="C53" s="20"/>
      <c r="D53" s="20"/>
      <c r="E53" s="23"/>
      <c r="F53" s="32"/>
      <c r="G53" s="32"/>
      <c r="H53" s="32"/>
      <c r="I53" s="23"/>
      <c r="J53" s="23"/>
      <c r="K53" s="23"/>
      <c r="L53" s="23"/>
      <c r="M53" s="38"/>
    </row>
  </sheetData>
  <mergeCells count="2">
    <mergeCell ref="A1:I1"/>
    <mergeCell ref="A2:I2"/>
  </mergeCells>
  <pageMargins left="0.7" right="0.7" top="0.75" bottom="0.75" header="0.3" footer="0.3"/>
  <pageSetup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EF8DA-9447-48C9-88AC-222386B959E1}">
  <sheetPr>
    <pageSetUpPr fitToPage="1"/>
  </sheetPr>
  <dimension ref="A1:O53"/>
  <sheetViews>
    <sheetView zoomScaleNormal="100" workbookViewId="0">
      <selection activeCell="N3" sqref="N3:N8"/>
    </sheetView>
  </sheetViews>
  <sheetFormatPr defaultRowHeight="15" x14ac:dyDescent="0.25"/>
  <cols>
    <col min="1" max="1" width="74.42578125" bestFit="1" customWidth="1"/>
    <col min="2" max="3" width="17.42578125" bestFit="1" customWidth="1"/>
    <col min="4" max="4" width="14.42578125" customWidth="1"/>
    <col min="5" max="5" width="11.28515625" customWidth="1"/>
    <col min="6" max="6" width="15.85546875" customWidth="1"/>
    <col min="7" max="7" width="15.7109375" customWidth="1"/>
    <col min="8" max="8" width="15" bestFit="1" customWidth="1"/>
    <col min="9" max="9" width="12.140625" customWidth="1"/>
    <col min="14" max="14" width="16" bestFit="1" customWidth="1"/>
    <col min="15" max="15" width="18.5703125" customWidth="1"/>
  </cols>
  <sheetData>
    <row r="1" spans="1:12" ht="18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6"/>
      <c r="K1" s="23"/>
      <c r="L1" s="23"/>
    </row>
    <row r="2" spans="1:12" x14ac:dyDescent="0.25">
      <c r="A2" s="49" t="s">
        <v>75</v>
      </c>
      <c r="B2" s="49"/>
      <c r="C2" s="49"/>
      <c r="D2" s="49"/>
      <c r="E2" s="49"/>
      <c r="F2" s="49"/>
      <c r="G2" s="49"/>
      <c r="H2" s="49"/>
      <c r="I2" s="49"/>
      <c r="J2" s="26"/>
      <c r="K2" s="23"/>
      <c r="L2" s="23"/>
    </row>
    <row r="3" spans="1:12" x14ac:dyDescent="0.25">
      <c r="A3" s="22"/>
      <c r="B3" s="23"/>
      <c r="C3" s="24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5">
      <c r="A4" s="22"/>
      <c r="B4" s="23"/>
      <c r="C4" s="23"/>
      <c r="D4" s="25" t="s">
        <v>30</v>
      </c>
      <c r="E4" s="23"/>
      <c r="F4" s="26" t="s">
        <v>31</v>
      </c>
      <c r="G4" s="26" t="s">
        <v>32</v>
      </c>
      <c r="H4" s="27" t="s">
        <v>30</v>
      </c>
      <c r="I4" s="23"/>
      <c r="J4" s="23"/>
      <c r="K4" s="23"/>
      <c r="L4" s="23"/>
    </row>
    <row r="5" spans="1:12" x14ac:dyDescent="0.25">
      <c r="A5" s="23"/>
      <c r="B5" s="28" t="s">
        <v>74</v>
      </c>
      <c r="C5" s="25" t="s">
        <v>52</v>
      </c>
      <c r="D5" s="24" t="s">
        <v>33</v>
      </c>
      <c r="E5" s="26" t="s">
        <v>34</v>
      </c>
      <c r="F5" s="26" t="s">
        <v>35</v>
      </c>
      <c r="G5" s="26" t="s">
        <v>35</v>
      </c>
      <c r="H5" s="26" t="s">
        <v>33</v>
      </c>
      <c r="I5" s="26" t="s">
        <v>34</v>
      </c>
      <c r="J5" s="23"/>
      <c r="K5" s="23"/>
      <c r="L5" s="23"/>
    </row>
    <row r="6" spans="1:12" x14ac:dyDescent="0.25">
      <c r="A6" s="23"/>
      <c r="B6" s="29" t="s">
        <v>4</v>
      </c>
      <c r="C6" s="29" t="s">
        <v>4</v>
      </c>
      <c r="D6" s="29" t="s">
        <v>4</v>
      </c>
      <c r="E6" s="30" t="s">
        <v>4</v>
      </c>
      <c r="F6" s="30" t="s">
        <v>4</v>
      </c>
      <c r="G6" s="30" t="s">
        <v>4</v>
      </c>
      <c r="H6" s="30" t="s">
        <v>4</v>
      </c>
      <c r="I6" s="30" t="s">
        <v>4</v>
      </c>
      <c r="J6" s="23"/>
      <c r="K6" s="23"/>
      <c r="L6" s="23"/>
    </row>
    <row r="7" spans="1:12" x14ac:dyDescent="0.25">
      <c r="A7" s="14" t="s">
        <v>73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x14ac:dyDescent="0.25">
      <c r="A8" s="14" t="s">
        <v>36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x14ac:dyDescent="0.25">
      <c r="A9" s="1" t="s">
        <v>5</v>
      </c>
      <c r="B9" s="20">
        <v>152915226</v>
      </c>
      <c r="C9" s="20">
        <v>154695979.81</v>
      </c>
      <c r="D9" s="20">
        <v>-1780753.8100000024</v>
      </c>
      <c r="E9" s="31">
        <v>-1.1511312783869056E-2</v>
      </c>
      <c r="F9" s="32">
        <v>464445658.69</v>
      </c>
      <c r="G9" s="32">
        <v>446011818.59999996</v>
      </c>
      <c r="H9" s="32">
        <v>18433840.090000033</v>
      </c>
      <c r="I9" s="31">
        <v>4.1330384804291902E-2</v>
      </c>
      <c r="J9" s="23"/>
      <c r="K9" s="23"/>
      <c r="L9" s="23"/>
    </row>
    <row r="10" spans="1:12" x14ac:dyDescent="0.25">
      <c r="A10" s="1" t="s">
        <v>6</v>
      </c>
      <c r="B10" s="20">
        <v>188514883.13</v>
      </c>
      <c r="C10" s="20">
        <v>188384282.09999999</v>
      </c>
      <c r="D10" s="20">
        <v>130601.03000000119</v>
      </c>
      <c r="E10" s="31">
        <v>6.9326925019505754E-4</v>
      </c>
      <c r="F10" s="32">
        <v>579719718.52999997</v>
      </c>
      <c r="G10" s="32">
        <v>557239035.03999996</v>
      </c>
      <c r="H10" s="32">
        <v>22480683.49000001</v>
      </c>
      <c r="I10" s="31">
        <v>4.0342980438163832E-2</v>
      </c>
      <c r="J10" s="23"/>
      <c r="K10" s="23"/>
      <c r="L10" s="23"/>
    </row>
    <row r="11" spans="1:12" x14ac:dyDescent="0.25">
      <c r="A11" s="1" t="s">
        <v>7</v>
      </c>
      <c r="B11" s="20">
        <v>36198807.229999997</v>
      </c>
      <c r="C11" s="20">
        <v>36139761.289999999</v>
      </c>
      <c r="D11" s="20">
        <v>59045.939999997616</v>
      </c>
      <c r="E11" s="31">
        <v>1.6338220810643771E-3</v>
      </c>
      <c r="F11" s="32">
        <v>111163739.15000001</v>
      </c>
      <c r="G11" s="32">
        <v>107003073.15000001</v>
      </c>
      <c r="H11" s="32">
        <v>4160666</v>
      </c>
      <c r="I11" s="31">
        <v>3.8883612194646575E-2</v>
      </c>
      <c r="J11" s="23"/>
      <c r="K11" s="23"/>
      <c r="L11" s="23"/>
    </row>
    <row r="12" spans="1:12" x14ac:dyDescent="0.25">
      <c r="A12" s="1" t="s">
        <v>8</v>
      </c>
      <c r="B12" s="20">
        <v>126695004.88</v>
      </c>
      <c r="C12" s="20">
        <v>126469799.89</v>
      </c>
      <c r="D12" s="20">
        <v>225204.98999999464</v>
      </c>
      <c r="E12" s="31">
        <v>1.7807017184803947E-3</v>
      </c>
      <c r="F12" s="32">
        <v>389042777.88999999</v>
      </c>
      <c r="G12" s="32">
        <v>374448304.55000001</v>
      </c>
      <c r="H12" s="32">
        <v>14594473.339999974</v>
      </c>
      <c r="I12" s="31">
        <v>3.8975936498201386E-2</v>
      </c>
      <c r="J12" s="23"/>
      <c r="K12" s="23"/>
      <c r="L12" s="23"/>
    </row>
    <row r="13" spans="1:12" x14ac:dyDescent="0.25">
      <c r="A13" s="1" t="s">
        <v>9</v>
      </c>
      <c r="B13" s="20">
        <v>78126758</v>
      </c>
      <c r="C13" s="20">
        <v>99717919.719999999</v>
      </c>
      <c r="D13" s="20">
        <v>-21591161.719999999</v>
      </c>
      <c r="E13" s="31">
        <v>-0.21652238414746583</v>
      </c>
      <c r="F13" s="32">
        <v>282616425.67000002</v>
      </c>
      <c r="G13" s="32">
        <v>293694767.62</v>
      </c>
      <c r="H13" s="32">
        <v>-11078341.949999988</v>
      </c>
      <c r="I13" s="31">
        <v>-3.7720596930531002E-2</v>
      </c>
      <c r="J13" s="23"/>
      <c r="K13" s="23"/>
      <c r="L13" s="23"/>
    </row>
    <row r="14" spans="1:12" x14ac:dyDescent="0.25">
      <c r="A14" s="23"/>
      <c r="B14" s="29" t="s">
        <v>4</v>
      </c>
      <c r="C14" s="29" t="s">
        <v>4</v>
      </c>
      <c r="D14" s="29" t="s">
        <v>4</v>
      </c>
      <c r="E14" s="30" t="s">
        <v>4</v>
      </c>
      <c r="F14" s="30" t="s">
        <v>4</v>
      </c>
      <c r="G14" s="30" t="s">
        <v>4</v>
      </c>
      <c r="H14" s="30" t="s">
        <v>4</v>
      </c>
      <c r="I14" s="30" t="s">
        <v>4</v>
      </c>
      <c r="J14" s="23"/>
      <c r="K14" s="23"/>
      <c r="L14" s="23"/>
    </row>
    <row r="15" spans="1:12" x14ac:dyDescent="0.25">
      <c r="A15" s="18" t="s">
        <v>10</v>
      </c>
      <c r="B15" s="33">
        <v>582450679.24000001</v>
      </c>
      <c r="C15" s="33">
        <v>605407742.80999994</v>
      </c>
      <c r="D15" s="33">
        <v>-22957063.570000008</v>
      </c>
      <c r="E15" s="34">
        <v>-3.792000324185614E-2</v>
      </c>
      <c r="F15" s="35">
        <v>1826988319.9300003</v>
      </c>
      <c r="G15" s="35">
        <v>1778396998.96</v>
      </c>
      <c r="H15" s="35">
        <v>48591320.970000029</v>
      </c>
      <c r="I15" s="34">
        <v>2.7323101083962721E-2</v>
      </c>
      <c r="J15" s="18"/>
      <c r="K15" s="23"/>
      <c r="L15" s="23"/>
    </row>
    <row r="16" spans="1:12" x14ac:dyDescent="0.25">
      <c r="A16" s="23"/>
      <c r="B16" s="20"/>
      <c r="C16" s="20"/>
      <c r="D16" s="23"/>
      <c r="E16" s="31"/>
      <c r="F16" s="23"/>
      <c r="G16" s="23"/>
      <c r="H16" s="23"/>
      <c r="I16" s="23"/>
      <c r="J16" s="23"/>
      <c r="K16" s="23"/>
      <c r="L16" s="23"/>
    </row>
    <row r="17" spans="1:14" x14ac:dyDescent="0.25">
      <c r="A17" s="1" t="s">
        <v>11</v>
      </c>
      <c r="B17" s="20">
        <v>13605.25</v>
      </c>
      <c r="C17" s="20">
        <v>108059.78</v>
      </c>
      <c r="D17" s="20">
        <v>-94454.53</v>
      </c>
      <c r="E17" s="31">
        <v>-0.87409515362700163</v>
      </c>
      <c r="F17" s="32">
        <v>13605.25</v>
      </c>
      <c r="G17" s="32">
        <v>108059.78</v>
      </c>
      <c r="H17" s="32">
        <v>-94454.53</v>
      </c>
      <c r="I17" s="31">
        <v>-0.87409515362700163</v>
      </c>
      <c r="J17" s="23"/>
      <c r="K17" s="23"/>
      <c r="L17" s="23"/>
    </row>
    <row r="18" spans="1:14" x14ac:dyDescent="0.25">
      <c r="A18" s="18" t="s">
        <v>12</v>
      </c>
      <c r="B18" s="20">
        <v>165827964.24000001</v>
      </c>
      <c r="C18" s="20">
        <v>168880719.26999998</v>
      </c>
      <c r="D18" s="20">
        <v>-3052755.0299999714</v>
      </c>
      <c r="E18" s="31">
        <v>-1.8076397608890713E-2</v>
      </c>
      <c r="F18" s="32">
        <v>165827964.24000001</v>
      </c>
      <c r="G18" s="32">
        <v>168880719.26999998</v>
      </c>
      <c r="H18" s="32">
        <v>-3052755.0299999714</v>
      </c>
      <c r="I18" s="31">
        <v>-1.8076397608890713E-2</v>
      </c>
      <c r="J18" s="23"/>
      <c r="K18" s="23"/>
      <c r="L18" s="23"/>
    </row>
    <row r="19" spans="1:14" x14ac:dyDescent="0.25">
      <c r="A19" s="23"/>
      <c r="B19" s="29" t="s">
        <v>4</v>
      </c>
      <c r="C19" s="29" t="s">
        <v>4</v>
      </c>
      <c r="D19" s="29" t="s">
        <v>4</v>
      </c>
      <c r="E19" s="30" t="s">
        <v>4</v>
      </c>
      <c r="F19" s="30" t="s">
        <v>4</v>
      </c>
      <c r="G19" s="30" t="s">
        <v>4</v>
      </c>
      <c r="H19" s="30" t="s">
        <v>4</v>
      </c>
      <c r="I19" s="30" t="s">
        <v>4</v>
      </c>
      <c r="J19" s="23"/>
      <c r="K19" s="23"/>
      <c r="L19" s="23"/>
    </row>
    <row r="20" spans="1:14" x14ac:dyDescent="0.25">
      <c r="A20" s="18" t="s">
        <v>13</v>
      </c>
      <c r="B20" s="20">
        <v>748292248.73000002</v>
      </c>
      <c r="C20" s="20">
        <v>774396521.8599999</v>
      </c>
      <c r="D20" s="20">
        <v>-26104273.12999998</v>
      </c>
      <c r="E20" s="31">
        <v>-3.3709181786226138E-2</v>
      </c>
      <c r="F20" s="20">
        <v>1992829889.4200003</v>
      </c>
      <c r="G20" s="20">
        <v>1947385778.01</v>
      </c>
      <c r="H20" s="20">
        <v>45444111.410000056</v>
      </c>
      <c r="I20" s="31">
        <v>2.333595732451051E-2</v>
      </c>
      <c r="J20" s="23"/>
      <c r="K20" s="23"/>
      <c r="L20" s="23"/>
    </row>
    <row r="21" spans="1:14" x14ac:dyDescent="0.25">
      <c r="A21" s="18"/>
      <c r="B21" s="20"/>
      <c r="C21" s="20"/>
      <c r="D21" s="20"/>
      <c r="E21" s="31"/>
      <c r="F21" s="32"/>
      <c r="G21" s="32"/>
      <c r="H21" s="32"/>
      <c r="I21" s="31"/>
      <c r="J21" s="23"/>
      <c r="K21" s="23"/>
      <c r="L21" s="23"/>
    </row>
    <row r="22" spans="1:14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4" x14ac:dyDescent="0.25">
      <c r="A23" s="14" t="s">
        <v>72</v>
      </c>
      <c r="B23" s="20"/>
      <c r="C23" s="20"/>
      <c r="D23" s="20"/>
      <c r="E23" s="31"/>
      <c r="F23" s="32"/>
      <c r="G23" s="32"/>
      <c r="H23" s="32"/>
      <c r="I23" s="31"/>
      <c r="J23" s="23"/>
      <c r="K23" s="23"/>
      <c r="L23" s="23"/>
    </row>
    <row r="24" spans="1:14" x14ac:dyDescent="0.25">
      <c r="A24" s="36" t="s">
        <v>37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4" x14ac:dyDescent="0.25">
      <c r="A25" s="18" t="s">
        <v>16</v>
      </c>
      <c r="B25" s="20">
        <v>1723607.5</v>
      </c>
      <c r="C25" s="20">
        <v>10719159.939999999</v>
      </c>
      <c r="D25" s="20">
        <v>-8995552.4399999995</v>
      </c>
      <c r="E25" s="31">
        <v>-0.83920311762789124</v>
      </c>
      <c r="F25" s="32">
        <v>18485145</v>
      </c>
      <c r="G25" s="32">
        <v>32005286.32</v>
      </c>
      <c r="H25" s="32">
        <v>-13520141.32</v>
      </c>
      <c r="I25" s="31">
        <v>-0.42243463110502805</v>
      </c>
      <c r="J25" s="23"/>
      <c r="K25" s="23"/>
      <c r="L25" s="23"/>
    </row>
    <row r="26" spans="1:14" x14ac:dyDescent="0.25">
      <c r="A26" s="18" t="s">
        <v>17</v>
      </c>
      <c r="B26" s="20">
        <v>3464291.07</v>
      </c>
      <c r="C26" s="20">
        <v>2365461.6800000002</v>
      </c>
      <c r="D26" s="20">
        <v>1098829.3899999997</v>
      </c>
      <c r="E26" s="31">
        <v>0.46453062389072375</v>
      </c>
      <c r="F26" s="32">
        <v>9260345.9000000004</v>
      </c>
      <c r="G26" s="32">
        <v>7981363</v>
      </c>
      <c r="H26" s="32">
        <v>1278982.9000000004</v>
      </c>
      <c r="I26" s="31">
        <v>0.16024617599775884</v>
      </c>
      <c r="J26" s="23"/>
      <c r="K26" s="23"/>
      <c r="L26" s="23"/>
    </row>
    <row r="27" spans="1:14" x14ac:dyDescent="0.25">
      <c r="A27" s="18" t="s">
        <v>18</v>
      </c>
      <c r="B27" s="20">
        <v>4157885.5699999994</v>
      </c>
      <c r="C27" s="20">
        <v>4252306.17</v>
      </c>
      <c r="D27" s="20">
        <v>-94420.600000000559</v>
      </c>
      <c r="E27" s="31">
        <v>-2.2204562941901373E-2</v>
      </c>
      <c r="F27" s="32">
        <v>15035624.050000001</v>
      </c>
      <c r="G27" s="32">
        <v>12654736.83</v>
      </c>
      <c r="H27" s="32">
        <v>2380887.2200000007</v>
      </c>
      <c r="I27" s="31">
        <v>0.18814197813705152</v>
      </c>
      <c r="J27" s="23"/>
      <c r="K27" s="23"/>
      <c r="L27" s="23"/>
    </row>
    <row r="28" spans="1:14" x14ac:dyDescent="0.25">
      <c r="A28" s="18" t="s">
        <v>19</v>
      </c>
      <c r="B28" s="20">
        <v>158911473.31999999</v>
      </c>
      <c r="C28" s="20">
        <v>143516423.12</v>
      </c>
      <c r="D28" s="20">
        <v>15395050.199999988</v>
      </c>
      <c r="E28" s="31">
        <v>0.10727030304488254</v>
      </c>
      <c r="F28" s="32">
        <v>158911473.31999999</v>
      </c>
      <c r="G28" s="32">
        <v>143516423.12</v>
      </c>
      <c r="H28" s="32">
        <v>15395050.199999988</v>
      </c>
      <c r="I28" s="31">
        <v>0.10727030304488254</v>
      </c>
      <c r="J28" s="23"/>
      <c r="K28" s="23"/>
      <c r="L28" s="23"/>
    </row>
    <row r="29" spans="1:14" x14ac:dyDescent="0.25">
      <c r="A29" s="18" t="s">
        <v>20</v>
      </c>
      <c r="B29" s="20">
        <v>190257.98</v>
      </c>
      <c r="C29" s="20">
        <v>205416.56999999998</v>
      </c>
      <c r="D29" s="20">
        <v>-15158.589999999967</v>
      </c>
      <c r="E29" s="31">
        <v>-7.3794387667946992E-2</v>
      </c>
      <c r="F29" s="32">
        <v>581482.23</v>
      </c>
      <c r="G29" s="32">
        <v>643369.72</v>
      </c>
      <c r="H29" s="32">
        <v>-61887.489999999991</v>
      </c>
      <c r="I29" s="31">
        <v>-9.6192730363499221E-2</v>
      </c>
      <c r="J29" s="23"/>
      <c r="K29" s="23"/>
      <c r="L29" s="23"/>
    </row>
    <row r="30" spans="1:14" x14ac:dyDescent="0.25">
      <c r="A30" s="18" t="s">
        <v>38</v>
      </c>
      <c r="B30" s="20">
        <v>16973893.760000002</v>
      </c>
      <c r="C30" s="20">
        <v>23999480.170000002</v>
      </c>
      <c r="D30" s="20">
        <v>-7025586.4100000001</v>
      </c>
      <c r="E30" s="31">
        <v>-0.29273910769043127</v>
      </c>
      <c r="F30" s="32">
        <v>16973893.760000002</v>
      </c>
      <c r="G30" s="32">
        <v>23999480.170000002</v>
      </c>
      <c r="H30" s="32">
        <v>-7025586.4100000001</v>
      </c>
      <c r="I30" s="31">
        <v>-0.29273910769043127</v>
      </c>
      <c r="J30" s="23"/>
      <c r="K30" s="23"/>
      <c r="L30" s="23"/>
    </row>
    <row r="31" spans="1:14" x14ac:dyDescent="0.25">
      <c r="A31" s="18" t="s">
        <v>22</v>
      </c>
      <c r="B31" s="20">
        <v>11214508.810000001</v>
      </c>
      <c r="C31" s="20">
        <v>5081116.63</v>
      </c>
      <c r="D31" s="20">
        <v>6133392.1800000006</v>
      </c>
      <c r="E31" s="31">
        <v>1.2070953348693358</v>
      </c>
      <c r="F31" s="32">
        <v>29458404.940000005</v>
      </c>
      <c r="G31" s="32">
        <v>22204318.419999998</v>
      </c>
      <c r="H31" s="32">
        <v>7254086.520000007</v>
      </c>
      <c r="I31" s="31">
        <v>0.32669710381499778</v>
      </c>
      <c r="J31" s="23"/>
      <c r="K31" s="23"/>
      <c r="L31" s="38"/>
      <c r="N31" s="42"/>
    </row>
    <row r="32" spans="1:14" x14ac:dyDescent="0.25">
      <c r="A32" s="18" t="s">
        <v>23</v>
      </c>
      <c r="B32" s="20">
        <v>297500</v>
      </c>
      <c r="C32" s="20">
        <v>404005</v>
      </c>
      <c r="D32" s="20">
        <v>-106505</v>
      </c>
      <c r="E32" s="31">
        <v>-0.26362297496318116</v>
      </c>
      <c r="F32" s="32">
        <v>297500</v>
      </c>
      <c r="G32" s="32">
        <v>404005</v>
      </c>
      <c r="H32" s="32">
        <v>-106505</v>
      </c>
      <c r="I32" s="31">
        <v>-0.26362297496318116</v>
      </c>
      <c r="J32" s="23"/>
      <c r="K32" s="23"/>
      <c r="L32" s="23"/>
    </row>
    <row r="33" spans="1:15" x14ac:dyDescent="0.25">
      <c r="A33" s="18" t="s">
        <v>49</v>
      </c>
      <c r="B33" s="20">
        <v>0</v>
      </c>
      <c r="C33" s="20">
        <v>-24277.759999999998</v>
      </c>
      <c r="D33" s="20">
        <v>24277.759999999998</v>
      </c>
      <c r="E33" s="31">
        <v>-1</v>
      </c>
      <c r="F33" s="32">
        <v>0</v>
      </c>
      <c r="G33" s="32">
        <v>-24277.759999999998</v>
      </c>
      <c r="H33" s="32">
        <v>24277.759999999998</v>
      </c>
      <c r="I33" s="31">
        <v>-1</v>
      </c>
      <c r="J33" s="23"/>
      <c r="K33" s="23"/>
      <c r="L33" s="23"/>
    </row>
    <row r="34" spans="1:15" x14ac:dyDescent="0.25">
      <c r="A34" s="18" t="s">
        <v>24</v>
      </c>
      <c r="B34" s="20">
        <v>30590861.879999999</v>
      </c>
      <c r="C34" s="20">
        <v>30561948.210000001</v>
      </c>
      <c r="D34" s="20">
        <v>28913.669999998063</v>
      </c>
      <c r="E34" s="31">
        <v>9.4606763290493981E-4</v>
      </c>
      <c r="F34" s="32">
        <v>30590861.879999999</v>
      </c>
      <c r="G34" s="32">
        <v>30561948.210000001</v>
      </c>
      <c r="H34" s="32">
        <v>28913.669999998063</v>
      </c>
      <c r="I34" s="31">
        <v>9.4606763290493981E-4</v>
      </c>
      <c r="J34" s="23"/>
      <c r="K34" s="23"/>
      <c r="L34" s="23"/>
    </row>
    <row r="35" spans="1:15" x14ac:dyDescent="0.25">
      <c r="A35" s="18" t="s">
        <v>25</v>
      </c>
      <c r="B35" s="21" t="s">
        <v>66</v>
      </c>
      <c r="C35" s="21" t="s">
        <v>66</v>
      </c>
      <c r="D35" s="21" t="s">
        <v>43</v>
      </c>
      <c r="E35" s="21" t="s">
        <v>42</v>
      </c>
      <c r="F35" s="21" t="s">
        <v>41</v>
      </c>
      <c r="G35" s="37" t="s">
        <v>67</v>
      </c>
      <c r="H35" s="21" t="s">
        <v>40</v>
      </c>
      <c r="I35" s="21" t="s">
        <v>39</v>
      </c>
      <c r="J35" s="23"/>
      <c r="K35" s="23"/>
      <c r="L35" s="23"/>
      <c r="O35" s="41"/>
    </row>
    <row r="36" spans="1:15" x14ac:dyDescent="0.25">
      <c r="A36" s="18" t="s">
        <v>26</v>
      </c>
      <c r="B36" s="20">
        <v>2898471.6999999997</v>
      </c>
      <c r="C36" s="20">
        <v>2883142.44</v>
      </c>
      <c r="D36" s="20">
        <v>15329.259999999776</v>
      </c>
      <c r="E36" s="31">
        <v>5.3168583651384826E-3</v>
      </c>
      <c r="F36" s="32">
        <v>6825078.6499999994</v>
      </c>
      <c r="G36" s="32">
        <v>8167450.4399999995</v>
      </c>
      <c r="H36" s="32">
        <v>-1342371.79</v>
      </c>
      <c r="I36" s="31">
        <v>-0.16435628227699417</v>
      </c>
      <c r="J36" s="23"/>
      <c r="K36" s="23"/>
      <c r="L36" s="23"/>
      <c r="O36" s="41"/>
    </row>
    <row r="37" spans="1:15" x14ac:dyDescent="0.25">
      <c r="A37" s="18" t="s">
        <v>27</v>
      </c>
      <c r="B37" s="20">
        <v>17730167.149999999</v>
      </c>
      <c r="C37" s="20">
        <v>20866969.710000001</v>
      </c>
      <c r="D37" s="20">
        <v>-3136802.5600000024</v>
      </c>
      <c r="E37" s="31">
        <v>-0.15032381814867754</v>
      </c>
      <c r="F37" s="32">
        <v>46312423.099999994</v>
      </c>
      <c r="G37" s="32">
        <v>57263871.68</v>
      </c>
      <c r="H37" s="32">
        <v>-10951448.580000006</v>
      </c>
      <c r="I37" s="31">
        <v>-0.19124533949081393</v>
      </c>
      <c r="J37" s="23"/>
      <c r="K37" s="23"/>
      <c r="L37" s="23"/>
      <c r="O37" s="41"/>
    </row>
    <row r="38" spans="1:15" x14ac:dyDescent="0.25">
      <c r="A38" s="18" t="s">
        <v>44</v>
      </c>
      <c r="B38" s="20">
        <v>4093731.4</v>
      </c>
      <c r="C38" s="20">
        <v>3767556.72</v>
      </c>
      <c r="D38" s="20">
        <v>326174.6799999997</v>
      </c>
      <c r="E38" s="31">
        <v>8.6574590441733199E-2</v>
      </c>
      <c r="F38" s="32">
        <v>11450201.880000001</v>
      </c>
      <c r="G38" s="32">
        <v>11177142.16</v>
      </c>
      <c r="H38" s="32">
        <v>273059.72000000067</v>
      </c>
      <c r="I38" s="31">
        <v>2.4430191196566177E-2</v>
      </c>
      <c r="J38" s="23"/>
      <c r="K38" s="23"/>
      <c r="L38" s="23"/>
    </row>
    <row r="39" spans="1:15" x14ac:dyDescent="0.25">
      <c r="A39" s="18" t="s">
        <v>45</v>
      </c>
      <c r="B39" s="20">
        <v>18856596.440000001</v>
      </c>
      <c r="C39" s="20">
        <v>3093841.09</v>
      </c>
      <c r="D39" s="20">
        <v>15762755.350000001</v>
      </c>
      <c r="E39" s="31">
        <v>5.0948820225281839</v>
      </c>
      <c r="F39" s="32">
        <v>89900646.310000002</v>
      </c>
      <c r="G39" s="32">
        <v>15124079.91</v>
      </c>
      <c r="H39" s="32">
        <v>74776566.400000006</v>
      </c>
      <c r="I39" s="31">
        <v>4.9442059844287085</v>
      </c>
      <c r="J39" s="23"/>
      <c r="K39" s="23"/>
      <c r="L39" s="23"/>
    </row>
    <row r="40" spans="1:15" x14ac:dyDescent="0.25">
      <c r="A40" s="18" t="s">
        <v>46</v>
      </c>
      <c r="B40" s="20">
        <v>3982597.15</v>
      </c>
      <c r="C40" s="20">
        <v>7442281.0300000003</v>
      </c>
      <c r="D40" s="20">
        <v>-3459683.8800000004</v>
      </c>
      <c r="E40" s="31">
        <v>-0.46486875005847506</v>
      </c>
      <c r="F40" s="32">
        <v>15701875.07</v>
      </c>
      <c r="G40" s="32">
        <v>19751404.41</v>
      </c>
      <c r="H40" s="32">
        <v>-4049529.34</v>
      </c>
      <c r="I40" s="31">
        <v>-0.2050248810636347</v>
      </c>
      <c r="J40" s="23"/>
      <c r="K40" s="23"/>
      <c r="L40" s="23"/>
    </row>
    <row r="41" spans="1:15" x14ac:dyDescent="0.25">
      <c r="A41" s="18" t="s">
        <v>47</v>
      </c>
      <c r="B41" s="20">
        <v>2406653.5099999998</v>
      </c>
      <c r="C41" s="20">
        <v>3123384.77</v>
      </c>
      <c r="D41" s="20">
        <v>-716731.26000000024</v>
      </c>
      <c r="E41" s="31">
        <v>-0.22947261153482548</v>
      </c>
      <c r="F41" s="32">
        <v>8722153.7100000009</v>
      </c>
      <c r="G41" s="32">
        <v>8691930.1899999995</v>
      </c>
      <c r="H41" s="32">
        <v>30223.520000001416</v>
      </c>
      <c r="I41" s="31">
        <v>3.4771931365455912E-3</v>
      </c>
      <c r="J41" s="23"/>
      <c r="K41" s="23"/>
      <c r="L41" s="23"/>
    </row>
    <row r="42" spans="1:15" x14ac:dyDescent="0.25">
      <c r="A42" s="23"/>
      <c r="B42" s="20"/>
      <c r="C42" s="23"/>
      <c r="D42" s="20"/>
      <c r="E42" s="31"/>
      <c r="F42" s="32"/>
      <c r="G42" s="32"/>
      <c r="H42" s="32"/>
      <c r="I42" s="31"/>
      <c r="J42" s="23"/>
      <c r="K42" s="23"/>
      <c r="L42" s="23"/>
    </row>
    <row r="43" spans="1:15" x14ac:dyDescent="0.25">
      <c r="A43" s="18" t="s">
        <v>28</v>
      </c>
      <c r="B43" s="29" t="s">
        <v>4</v>
      </c>
      <c r="C43" s="29" t="s">
        <v>4</v>
      </c>
      <c r="D43" s="29" t="s">
        <v>4</v>
      </c>
      <c r="E43" s="30" t="s">
        <v>4</v>
      </c>
      <c r="F43" s="30" t="s">
        <v>4</v>
      </c>
      <c r="G43" s="30" t="s">
        <v>4</v>
      </c>
      <c r="H43" s="30" t="s">
        <v>4</v>
      </c>
      <c r="I43" s="30" t="s">
        <v>4</v>
      </c>
      <c r="J43" s="23"/>
      <c r="K43" s="23"/>
      <c r="L43" s="23"/>
    </row>
    <row r="44" spans="1:15" x14ac:dyDescent="0.25">
      <c r="A44" s="23"/>
      <c r="B44" s="20">
        <v>277492497.23999995</v>
      </c>
      <c r="C44" s="20">
        <v>262258215.49000001</v>
      </c>
      <c r="D44" s="20">
        <v>15234281.749999985</v>
      </c>
      <c r="E44" s="31">
        <v>5.8088863761756489E-2</v>
      </c>
      <c r="F44" s="20">
        <v>458507109.79999989</v>
      </c>
      <c r="G44" s="20">
        <v>394122531.82000011</v>
      </c>
      <c r="H44" s="20">
        <v>64384577.979999997</v>
      </c>
      <c r="I44" s="31">
        <v>0.16336182984180439</v>
      </c>
      <c r="J44" s="23"/>
      <c r="K44" s="23"/>
      <c r="L44" s="23"/>
    </row>
    <row r="45" spans="1:15" x14ac:dyDescent="0.25">
      <c r="A45" s="39" t="s">
        <v>29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8" spans="1:15" x14ac:dyDescent="0.25">
      <c r="A48" s="23"/>
      <c r="B48" s="20"/>
      <c r="C48" s="20"/>
      <c r="D48" s="20"/>
      <c r="E48" s="23"/>
      <c r="F48" s="32"/>
      <c r="G48" s="32"/>
      <c r="H48" s="32"/>
      <c r="I48" s="23"/>
      <c r="J48" s="23"/>
      <c r="K48" s="23"/>
      <c r="L48" s="23"/>
    </row>
    <row r="49" spans="1:12" x14ac:dyDescent="0.25">
      <c r="A49" s="23"/>
      <c r="B49" s="23"/>
      <c r="C49" s="20"/>
      <c r="D49" s="23"/>
      <c r="E49" s="23"/>
      <c r="F49" s="23"/>
      <c r="G49" s="23"/>
      <c r="H49" s="23"/>
      <c r="I49" s="23"/>
      <c r="J49" s="23"/>
      <c r="K49" s="23"/>
      <c r="L49" s="23"/>
    </row>
    <row r="53" spans="1:12" x14ac:dyDescent="0.25">
      <c r="B53" s="20"/>
      <c r="C53" s="20"/>
      <c r="D53" s="20"/>
      <c r="E53" s="23"/>
      <c r="F53" s="32"/>
      <c r="G53" s="32"/>
      <c r="H53" s="32"/>
      <c r="I53" s="23"/>
      <c r="J53" s="23"/>
      <c r="K53" s="23"/>
      <c r="L53" s="23"/>
    </row>
  </sheetData>
  <mergeCells count="2">
    <mergeCell ref="A1:I1"/>
    <mergeCell ref="A2:I2"/>
  </mergeCells>
  <pageMargins left="0.7" right="0.7" top="0.75" bottom="0.75" header="0.3" footer="0.3"/>
  <pageSetup scale="4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3B10D-C61E-4576-8C7B-DD3776570449}">
  <dimension ref="A1:M50"/>
  <sheetViews>
    <sheetView topLeftCell="A9" zoomScaleNormal="100" workbookViewId="0">
      <selection sqref="A1:I1"/>
    </sheetView>
  </sheetViews>
  <sheetFormatPr defaultRowHeight="15" x14ac:dyDescent="0.25"/>
  <cols>
    <col min="1" max="1" width="69" customWidth="1"/>
    <col min="2" max="3" width="17.42578125" bestFit="1" customWidth="1"/>
    <col min="4" max="4" width="14.42578125" customWidth="1"/>
    <col min="5" max="5" width="11.28515625" customWidth="1"/>
    <col min="6" max="6" width="15.85546875" customWidth="1"/>
    <col min="7" max="7" width="15.7109375" customWidth="1"/>
    <col min="8" max="8" width="15" bestFit="1" customWidth="1"/>
    <col min="9" max="9" width="10.140625" customWidth="1"/>
    <col min="13" max="13" width="12.7109375" bestFit="1" customWidth="1"/>
    <col min="14" max="14" width="17.85546875" customWidth="1"/>
    <col min="15" max="15" width="14.85546875" bestFit="1" customWidth="1"/>
  </cols>
  <sheetData>
    <row r="1" spans="1:13" ht="18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6"/>
      <c r="K1" s="23"/>
      <c r="L1" s="23"/>
      <c r="M1" s="23"/>
    </row>
    <row r="2" spans="1:13" x14ac:dyDescent="0.25">
      <c r="A2" s="49" t="s">
        <v>79</v>
      </c>
      <c r="B2" s="49"/>
      <c r="C2" s="49"/>
      <c r="D2" s="49"/>
      <c r="E2" s="49"/>
      <c r="F2" s="49"/>
      <c r="G2" s="49"/>
      <c r="H2" s="49"/>
      <c r="I2" s="49"/>
      <c r="J2" s="26"/>
      <c r="K2" s="23"/>
      <c r="L2" s="23"/>
      <c r="M2" s="23"/>
    </row>
    <row r="3" spans="1:13" x14ac:dyDescent="0.25">
      <c r="A3" s="22"/>
      <c r="B3" s="23"/>
      <c r="C3" s="24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x14ac:dyDescent="0.25">
      <c r="A4" s="22"/>
      <c r="B4" s="23"/>
      <c r="C4" s="23"/>
      <c r="D4" s="25" t="s">
        <v>30</v>
      </c>
      <c r="E4" s="23"/>
      <c r="F4" s="26" t="s">
        <v>31</v>
      </c>
      <c r="G4" s="26" t="s">
        <v>32</v>
      </c>
      <c r="H4" s="27" t="s">
        <v>30</v>
      </c>
      <c r="I4" s="23"/>
      <c r="J4" s="23"/>
      <c r="K4" s="23"/>
      <c r="L4" s="23"/>
      <c r="M4" s="23"/>
    </row>
    <row r="5" spans="1:13" x14ac:dyDescent="0.25">
      <c r="A5" s="23"/>
      <c r="B5" s="28" t="s">
        <v>78</v>
      </c>
      <c r="C5" s="25" t="s">
        <v>53</v>
      </c>
      <c r="D5" s="24" t="s">
        <v>33</v>
      </c>
      <c r="E5" s="26" t="s">
        <v>34</v>
      </c>
      <c r="F5" s="26" t="s">
        <v>35</v>
      </c>
      <c r="G5" s="26" t="s">
        <v>35</v>
      </c>
      <c r="H5" s="26" t="s">
        <v>33</v>
      </c>
      <c r="I5" s="26" t="s">
        <v>34</v>
      </c>
      <c r="J5" s="23"/>
      <c r="K5" s="23"/>
      <c r="L5" s="23"/>
      <c r="M5" s="26"/>
    </row>
    <row r="6" spans="1:13" x14ac:dyDescent="0.25">
      <c r="A6" s="23"/>
      <c r="B6" s="29" t="s">
        <v>4</v>
      </c>
      <c r="C6" s="29" t="s">
        <v>4</v>
      </c>
      <c r="D6" s="29" t="s">
        <v>4</v>
      </c>
      <c r="E6" s="30" t="s">
        <v>4</v>
      </c>
      <c r="F6" s="30" t="s">
        <v>4</v>
      </c>
      <c r="G6" s="30" t="s">
        <v>4</v>
      </c>
      <c r="H6" s="30" t="s">
        <v>4</v>
      </c>
      <c r="I6" s="30" t="s">
        <v>4</v>
      </c>
      <c r="J6" s="23"/>
      <c r="K6" s="23"/>
      <c r="L6" s="23"/>
      <c r="M6" s="26"/>
    </row>
    <row r="7" spans="1:13" x14ac:dyDescent="0.25">
      <c r="A7" s="14" t="s">
        <v>77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38"/>
    </row>
    <row r="8" spans="1:13" x14ac:dyDescent="0.25">
      <c r="A8" s="14" t="s">
        <v>36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x14ac:dyDescent="0.25">
      <c r="A9" s="1" t="s">
        <v>5</v>
      </c>
      <c r="B9" s="20">
        <v>162142217.77000001</v>
      </c>
      <c r="C9" s="20">
        <f>[1]FY25!F7</f>
        <v>142085145.82999998</v>
      </c>
      <c r="D9" s="20">
        <f>B9-C9</f>
        <v>20057071.940000027</v>
      </c>
      <c r="E9" s="31">
        <f>D9/C9</f>
        <v>0.14116234193824614</v>
      </c>
      <c r="F9" s="32">
        <f>'[1]REV PED 1'!F9+'[1]REV PED 2'!B9+'[1]REV PED 3'!B9+'[1]REV PED 4'!B9</f>
        <v>626587876.46000004</v>
      </c>
      <c r="G9" s="32">
        <f>[1]FY25!C7+[1]FY25!D7+[1]FY25!E7+[1]FY25!F7</f>
        <v>588096964.42999995</v>
      </c>
      <c r="H9" s="32">
        <f>F9-G9</f>
        <v>38490912.030000091</v>
      </c>
      <c r="I9" s="31">
        <f>H9/G9</f>
        <v>6.5449941689983998E-2</v>
      </c>
      <c r="J9" s="23"/>
      <c r="K9" s="23"/>
      <c r="L9" s="23"/>
      <c r="M9" s="32"/>
    </row>
    <row r="10" spans="1:13" x14ac:dyDescent="0.25">
      <c r="A10" s="1" t="s">
        <v>6</v>
      </c>
      <c r="B10" s="20">
        <v>204061418.43000001</v>
      </c>
      <c r="C10" s="20">
        <f>[1]FY25!F8</f>
        <v>183421668.22999999</v>
      </c>
      <c r="D10" s="20">
        <f t="shared" ref="D10:D13" si="0">B10-C10</f>
        <v>20639750.200000018</v>
      </c>
      <c r="E10" s="31">
        <f t="shared" ref="E10:E12" si="1">D10/C10</f>
        <v>0.11252623748966771</v>
      </c>
      <c r="F10" s="32">
        <f>'[1]REV PED 1'!F10+'[1]REV PED 2'!B10+'[1]REV PED 3'!B10+'[1]REV PED 4'!B10</f>
        <v>783781136.96000004</v>
      </c>
      <c r="G10" s="32">
        <f>[1]FY25!C8+[1]FY25!D8+[1]FY25!E8+[1]FY25!F8</f>
        <v>740660703.26999998</v>
      </c>
      <c r="H10" s="32">
        <f t="shared" ref="H10:H13" si="2">F10-G10</f>
        <v>43120433.690000057</v>
      </c>
      <c r="I10" s="31">
        <f t="shared" ref="I10:I13" si="3">H10/G10</f>
        <v>5.8218876065146072E-2</v>
      </c>
      <c r="J10" s="23"/>
      <c r="K10" s="23"/>
      <c r="L10" s="23"/>
      <c r="M10" s="32"/>
    </row>
    <row r="11" spans="1:13" x14ac:dyDescent="0.25">
      <c r="A11" s="1" t="s">
        <v>7</v>
      </c>
      <c r="B11" s="20">
        <v>38289610.079999998</v>
      </c>
      <c r="C11" s="20">
        <f>[1]FY25!F9</f>
        <v>35270312.839999996</v>
      </c>
      <c r="D11" s="20">
        <f t="shared" si="0"/>
        <v>3019297.2400000021</v>
      </c>
      <c r="E11" s="31">
        <f t="shared" si="1"/>
        <v>8.560449275561352E-2</v>
      </c>
      <c r="F11" s="32">
        <f>'[1]REV PED 1'!F11+'[1]REV PED 2'!B11+'[1]REV PED 3'!B11+'[1]REV PED 4'!B11</f>
        <v>149453349.23000002</v>
      </c>
      <c r="G11" s="32">
        <f>[1]FY25!C9+[1]FY25!D9+[1]FY25!E9+[1]FY25!F9</f>
        <v>142273385.99000001</v>
      </c>
      <c r="H11" s="32">
        <f t="shared" si="2"/>
        <v>7179963.2400000095</v>
      </c>
      <c r="I11" s="31">
        <f t="shared" si="3"/>
        <v>5.0465961641657058E-2</v>
      </c>
      <c r="J11" s="23"/>
      <c r="K11" s="23"/>
      <c r="L11" s="23"/>
      <c r="M11" s="32"/>
    </row>
    <row r="12" spans="1:13" x14ac:dyDescent="0.25">
      <c r="A12" s="1" t="s">
        <v>8</v>
      </c>
      <c r="B12" s="20">
        <v>134095915.63</v>
      </c>
      <c r="C12" s="20">
        <f>[1]FY25!F10</f>
        <v>123442037.23</v>
      </c>
      <c r="D12" s="20">
        <f t="shared" si="0"/>
        <v>10653878.399999991</v>
      </c>
      <c r="E12" s="31">
        <f t="shared" si="1"/>
        <v>8.6306728559165324E-2</v>
      </c>
      <c r="F12" s="32">
        <f>'[1]REV PED 1'!F12+'[1]REV PED 2'!B12+'[1]REV PED 3'!B12+'[1]REV PED 4'!B12</f>
        <v>523138693.51999998</v>
      </c>
      <c r="G12" s="32">
        <f>[1]FY25!C10+[1]FY25!D10+[1]FY25!E10+[1]FY25!F10</f>
        <v>497890341.78000003</v>
      </c>
      <c r="H12" s="32">
        <f t="shared" si="2"/>
        <v>25248351.73999995</v>
      </c>
      <c r="I12" s="31">
        <f t="shared" si="3"/>
        <v>5.0710667834477287E-2</v>
      </c>
      <c r="J12" s="23"/>
      <c r="K12" s="23"/>
      <c r="L12" s="23"/>
      <c r="M12" s="32"/>
    </row>
    <row r="13" spans="1:13" x14ac:dyDescent="0.25">
      <c r="A13" s="1" t="s">
        <v>9</v>
      </c>
      <c r="B13" s="20">
        <v>127432486.41</v>
      </c>
      <c r="C13" s="20">
        <f>[1]FY25!F11</f>
        <v>96987866.320000112</v>
      </c>
      <c r="D13" s="20">
        <f t="shared" si="0"/>
        <v>30444620.089999884</v>
      </c>
      <c r="E13" s="31">
        <f>D13/C13</f>
        <v>0.31390132853888569</v>
      </c>
      <c r="F13" s="32">
        <f>'[1]REV PED 1'!F13+'[1]REV PED 2'!B13+'[1]REV PED 3'!B13+'[1]REV PED 4'!B13</f>
        <v>410048912.08000004</v>
      </c>
      <c r="G13" s="32">
        <f>[1]FY25!C11+[1]FY25!D11+[1]FY25!E11+[1]FY25!F11</f>
        <v>390682633.94000012</v>
      </c>
      <c r="H13" s="32">
        <f t="shared" si="2"/>
        <v>19366278.139999926</v>
      </c>
      <c r="I13" s="31">
        <f t="shared" si="3"/>
        <v>4.9570358284658597E-2</v>
      </c>
      <c r="J13" s="23"/>
      <c r="K13" s="23"/>
      <c r="L13" s="23"/>
      <c r="M13" s="32"/>
    </row>
    <row r="14" spans="1:13" x14ac:dyDescent="0.25">
      <c r="A14" s="23"/>
      <c r="B14" s="29" t="s">
        <v>4</v>
      </c>
      <c r="C14" s="29" t="s">
        <v>4</v>
      </c>
      <c r="D14" s="29" t="s">
        <v>4</v>
      </c>
      <c r="E14" s="30" t="s">
        <v>4</v>
      </c>
      <c r="F14" s="30" t="s">
        <v>4</v>
      </c>
      <c r="G14" s="30" t="s">
        <v>4</v>
      </c>
      <c r="H14" s="30" t="s">
        <v>4</v>
      </c>
      <c r="I14" s="30" t="s">
        <v>4</v>
      </c>
      <c r="J14" s="23"/>
      <c r="K14" s="23"/>
      <c r="L14" s="23"/>
      <c r="M14" s="32"/>
    </row>
    <row r="15" spans="1:13" x14ac:dyDescent="0.25">
      <c r="A15" s="18" t="s">
        <v>10</v>
      </c>
      <c r="B15" s="33">
        <f>SUM(B9:B13)</f>
        <v>666021648.32000005</v>
      </c>
      <c r="C15" s="33">
        <f>SUM(C9:C13)</f>
        <v>581207030.45000005</v>
      </c>
      <c r="D15" s="33">
        <f>SUM(D9:D13)</f>
        <v>84814617.869999915</v>
      </c>
      <c r="E15" s="34">
        <f>D15/C15</f>
        <v>0.14592841006126875</v>
      </c>
      <c r="F15" s="35">
        <f>SUM(F9:F13)</f>
        <v>2493009968.25</v>
      </c>
      <c r="G15" s="35">
        <f>SUM(G9:G13)</f>
        <v>2359604029.4099998</v>
      </c>
      <c r="H15" s="35">
        <f>SUM(H9:H13)</f>
        <v>133405938.84000003</v>
      </c>
      <c r="I15" s="34">
        <f>H15/G15</f>
        <v>5.6537426270354831E-2</v>
      </c>
      <c r="J15" s="18"/>
      <c r="K15" s="23"/>
      <c r="L15" s="23"/>
      <c r="M15" s="23"/>
    </row>
    <row r="16" spans="1:13" x14ac:dyDescent="0.25">
      <c r="A16" s="23"/>
      <c r="B16" s="20"/>
      <c r="C16" s="20"/>
      <c r="D16" s="23"/>
      <c r="E16" s="31"/>
      <c r="F16" s="23"/>
      <c r="G16" s="23"/>
      <c r="H16" s="23"/>
      <c r="I16" s="23"/>
      <c r="J16" s="23"/>
      <c r="K16" s="23"/>
      <c r="L16" s="23"/>
      <c r="M16" s="23"/>
    </row>
    <row r="17" spans="1:13" x14ac:dyDescent="0.25">
      <c r="A17" s="1" t="s">
        <v>11</v>
      </c>
      <c r="B17" s="20"/>
      <c r="C17" s="20">
        <v>0</v>
      </c>
      <c r="D17" s="20">
        <f>B17-C17</f>
        <v>0</v>
      </c>
      <c r="E17" s="31">
        <f t="shared" ref="E17:E18" si="4">IF(C17=0,0,D17/C17)</f>
        <v>0</v>
      </c>
      <c r="F17" s="32">
        <f>'[1]REV PED 3'!F17</f>
        <v>13605.25</v>
      </c>
      <c r="G17" s="32">
        <f>[1]FY25!C15+[1]FY25!D15+[1]FY25!E15+[1]FY25!F15</f>
        <v>108059.78</v>
      </c>
      <c r="H17" s="32">
        <f>F17-G17</f>
        <v>-94454.53</v>
      </c>
      <c r="I17" s="31">
        <f>H17/G17</f>
        <v>-0.87409515362700163</v>
      </c>
      <c r="J17" s="23"/>
      <c r="K17" s="23"/>
      <c r="L17" s="23"/>
      <c r="M17" s="32"/>
    </row>
    <row r="18" spans="1:13" x14ac:dyDescent="0.25">
      <c r="A18" s="18" t="s">
        <v>12</v>
      </c>
      <c r="B18" s="20"/>
      <c r="C18" s="20">
        <v>0</v>
      </c>
      <c r="D18" s="20">
        <f>B18-C18</f>
        <v>0</v>
      </c>
      <c r="E18" s="31">
        <f t="shared" si="4"/>
        <v>0</v>
      </c>
      <c r="F18" s="32">
        <f>'[1]REV PED 3'!F18</f>
        <v>165827964.24000001</v>
      </c>
      <c r="G18" s="32">
        <f>[1]FY25!C16+[1]FY25!D16+[1]FY25!E16+[1]FY25!F16</f>
        <v>168880719.26999998</v>
      </c>
      <c r="H18" s="32">
        <f>F18-G18</f>
        <v>-3052755.0299999714</v>
      </c>
      <c r="I18" s="31">
        <f>H18/G18</f>
        <v>-1.8076397608890713E-2</v>
      </c>
      <c r="J18" s="23"/>
      <c r="K18" s="23"/>
      <c r="L18" s="23"/>
      <c r="M18" s="32"/>
    </row>
    <row r="19" spans="1:13" x14ac:dyDescent="0.25">
      <c r="A19" s="23"/>
      <c r="B19" s="29" t="s">
        <v>4</v>
      </c>
      <c r="C19" s="29" t="s">
        <v>4</v>
      </c>
      <c r="D19" s="29" t="s">
        <v>4</v>
      </c>
      <c r="E19" s="30" t="s">
        <v>4</v>
      </c>
      <c r="F19" s="30" t="s">
        <v>4</v>
      </c>
      <c r="G19" s="30" t="s">
        <v>4</v>
      </c>
      <c r="H19" s="30" t="s">
        <v>4</v>
      </c>
      <c r="I19" s="30" t="s">
        <v>4</v>
      </c>
      <c r="J19" s="23"/>
      <c r="K19" s="23"/>
      <c r="L19" s="23"/>
      <c r="M19" s="32"/>
    </row>
    <row r="20" spans="1:13" x14ac:dyDescent="0.25">
      <c r="A20" s="18" t="s">
        <v>13</v>
      </c>
      <c r="B20" s="20">
        <f>SUM(B15:B18)</f>
        <v>666021648.32000005</v>
      </c>
      <c r="C20" s="20">
        <f t="shared" ref="C20:H20" si="5">SUM(C15:C18)</f>
        <v>581207030.45000005</v>
      </c>
      <c r="D20" s="20">
        <f t="shared" si="5"/>
        <v>84814617.869999915</v>
      </c>
      <c r="E20" s="31">
        <f>D20/C20</f>
        <v>0.14592841006126875</v>
      </c>
      <c r="F20" s="20">
        <f t="shared" si="5"/>
        <v>2658851537.7399998</v>
      </c>
      <c r="G20" s="20">
        <f t="shared" si="5"/>
        <v>2528592808.46</v>
      </c>
      <c r="H20" s="20">
        <f t="shared" si="5"/>
        <v>130258729.28000006</v>
      </c>
      <c r="I20" s="31">
        <f>H20/G20</f>
        <v>5.1514316122465008E-2</v>
      </c>
      <c r="J20" s="23"/>
      <c r="K20" s="23"/>
      <c r="L20" s="23"/>
      <c r="M20" s="32"/>
    </row>
    <row r="21" spans="1:13" x14ac:dyDescent="0.25">
      <c r="A21" s="18"/>
      <c r="B21" s="20"/>
      <c r="C21" s="20"/>
      <c r="D21" s="20"/>
      <c r="E21" s="31"/>
      <c r="F21" s="32"/>
      <c r="G21" s="32"/>
      <c r="H21" s="32"/>
      <c r="I21" s="31"/>
      <c r="J21" s="23"/>
      <c r="K21" s="23"/>
      <c r="L21" s="23"/>
      <c r="M21" s="32"/>
    </row>
    <row r="22" spans="1:13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32"/>
    </row>
    <row r="23" spans="1:13" x14ac:dyDescent="0.25">
      <c r="A23" s="14" t="s">
        <v>76</v>
      </c>
      <c r="B23" s="20"/>
      <c r="C23" s="20"/>
      <c r="D23" s="20"/>
      <c r="E23" s="31"/>
      <c r="F23" s="32"/>
      <c r="G23" s="32"/>
      <c r="H23" s="32"/>
      <c r="I23" s="31"/>
      <c r="J23" s="23"/>
      <c r="K23" s="23"/>
      <c r="L23" s="23"/>
      <c r="M23" s="32"/>
    </row>
    <row r="24" spans="1:13" x14ac:dyDescent="0.25">
      <c r="A24" s="36" t="s">
        <v>37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32"/>
    </row>
    <row r="25" spans="1:13" x14ac:dyDescent="0.25">
      <c r="A25" s="18" t="s">
        <v>16</v>
      </c>
      <c r="B25" s="20">
        <f>500810.69+8513781.73+34727.58</f>
        <v>9049320</v>
      </c>
      <c r="C25" s="20">
        <f>[1]FY25!F22</f>
        <v>10189911.380000001</v>
      </c>
      <c r="D25" s="20">
        <f>B25-C25</f>
        <v>-1140591.3800000008</v>
      </c>
      <c r="E25" s="31">
        <f>D25/C25</f>
        <v>-0.11193339544038318</v>
      </c>
      <c r="F25" s="32">
        <f>'[1]REV PED 1'!B25+'[1]REV PED 2'!B25+'[1]REV PED 3'!B25+'[1]REV PED 4'!B25</f>
        <v>27534465</v>
      </c>
      <c r="G25" s="32">
        <f>[1]FY25!C22+[1]FY25!D22+[1]FY25!E22+[1]FY25!F22</f>
        <v>42195197.700000003</v>
      </c>
      <c r="H25" s="32">
        <f>F25-G25</f>
        <v>-14660732.700000003</v>
      </c>
      <c r="I25" s="31">
        <f>H25/G25</f>
        <v>-0.34745026683451236</v>
      </c>
      <c r="J25" s="23"/>
      <c r="K25" s="23"/>
      <c r="L25" s="23"/>
      <c r="M25" s="32"/>
    </row>
    <row r="26" spans="1:13" x14ac:dyDescent="0.25">
      <c r="A26" s="18" t="s">
        <v>17</v>
      </c>
      <c r="B26" s="20">
        <v>2887273.28</v>
      </c>
      <c r="C26" s="20">
        <f>[1]FY25!F23</f>
        <v>1327148.3999999999</v>
      </c>
      <c r="D26" s="20">
        <f t="shared" ref="D26:D34" si="6">B26-C26</f>
        <v>1560124.88</v>
      </c>
      <c r="E26" s="31">
        <f t="shared" ref="E26:E31" si="7">D26/C26</f>
        <v>1.1755466683303841</v>
      </c>
      <c r="F26" s="32">
        <f>'[1]REV PED 1'!B26+'[1]REV PED 2'!B26+'[1]REV PED 3'!B26+'[1]REV PED 4'!B26</f>
        <v>12147619.18</v>
      </c>
      <c r="G26" s="32">
        <f>[1]FY25!C23+[1]FY25!D23+[1]FY25!E23+[1]FY25!F23</f>
        <v>9308511.4000000004</v>
      </c>
      <c r="H26" s="32">
        <f t="shared" ref="H26:H34" si="8">F26-G26</f>
        <v>2839107.7799999993</v>
      </c>
      <c r="I26" s="31">
        <f t="shared" ref="I26:I31" si="9">H26/G26</f>
        <v>0.30500126797932475</v>
      </c>
      <c r="J26" s="23"/>
      <c r="K26" s="23"/>
      <c r="L26" s="23"/>
      <c r="M26" s="32"/>
    </row>
    <row r="27" spans="1:13" x14ac:dyDescent="0.25">
      <c r="A27" s="43" t="s">
        <v>18</v>
      </c>
      <c r="B27" s="20">
        <f>3871355.76+361436.95+108456.4</f>
        <v>4341249.1100000003</v>
      </c>
      <c r="C27" s="20">
        <f>[1]FY25!F24</f>
        <v>205449.19000000003</v>
      </c>
      <c r="D27" s="20">
        <f t="shared" si="6"/>
        <v>4135799.9200000004</v>
      </c>
      <c r="E27" s="31">
        <f t="shared" si="7"/>
        <v>20.130524340349066</v>
      </c>
      <c r="F27" s="32">
        <f>'[1]REV PED 1'!B27+'[1]REV PED 2'!B27+'[1]REV PED 3'!B27+'[1]REV PED 4'!B27</f>
        <v>19376873.16</v>
      </c>
      <c r="G27" s="32">
        <f>[1]FY25!C24+[1]FY25!D24+[1]FY25!E24+[1]FY25!F24</f>
        <v>12860186.02</v>
      </c>
      <c r="H27" s="32">
        <f t="shared" si="8"/>
        <v>6516687.1400000006</v>
      </c>
      <c r="I27" s="31">
        <f t="shared" si="9"/>
        <v>0.50673350524365124</v>
      </c>
      <c r="J27" s="23"/>
      <c r="K27" s="23"/>
      <c r="L27" s="23"/>
      <c r="M27" s="32"/>
    </row>
    <row r="28" spans="1:13" x14ac:dyDescent="0.25">
      <c r="A28" s="18" t="s">
        <v>19</v>
      </c>
      <c r="B28" s="20"/>
      <c r="C28" s="20">
        <f>[1]FY25!F25</f>
        <v>0</v>
      </c>
      <c r="D28" s="20">
        <f t="shared" si="6"/>
        <v>0</v>
      </c>
      <c r="E28" s="31">
        <f t="shared" ref="E28:E34" si="10">IF(C28=0,0,D28/C28)</f>
        <v>0</v>
      </c>
      <c r="F28" s="32">
        <f>'[1]REV PED 1'!B28+'[1]REV PED 2'!B28+'[1]REV PED 3'!B28+'[1]REV PED 4'!B28</f>
        <v>158911473.31999999</v>
      </c>
      <c r="G28" s="32">
        <f>[1]FY25!C25+[1]FY25!D25+[1]FY25!E25+[1]FY25!F25</f>
        <v>143516423.12</v>
      </c>
      <c r="H28" s="32">
        <f t="shared" si="8"/>
        <v>15395050.199999988</v>
      </c>
      <c r="I28" s="31">
        <f>H28/G28</f>
        <v>0.10727030304488254</v>
      </c>
      <c r="J28" s="23"/>
      <c r="K28" s="23"/>
      <c r="L28" s="23"/>
      <c r="M28" s="32"/>
    </row>
    <row r="29" spans="1:13" x14ac:dyDescent="0.25">
      <c r="A29" s="18" t="s">
        <v>20</v>
      </c>
      <c r="B29" s="20">
        <f>224141.66-25</f>
        <v>224116.66</v>
      </c>
      <c r="C29" s="20">
        <f>[1]FY25!F26</f>
        <v>43131.409999999996</v>
      </c>
      <c r="D29" s="20">
        <f t="shared" si="6"/>
        <v>180985.25</v>
      </c>
      <c r="E29" s="31">
        <f t="shared" si="7"/>
        <v>4.1961357164071389</v>
      </c>
      <c r="F29" s="32">
        <f>'[1]REV PED 1'!B29+'[1]REV PED 2'!B29+'[1]REV PED 3'!B29+'[1]REV PED 4'!B29</f>
        <v>805598.89</v>
      </c>
      <c r="G29" s="32">
        <f>[1]FY25!C26+[1]FY25!D26+[1]FY25!E26+[1]FY25!F26</f>
        <v>686501.13</v>
      </c>
      <c r="H29" s="32">
        <f t="shared" si="8"/>
        <v>119097.76000000001</v>
      </c>
      <c r="I29" s="31">
        <f t="shared" si="9"/>
        <v>0.17348516236236933</v>
      </c>
      <c r="J29" s="23"/>
      <c r="K29" s="23"/>
      <c r="L29" s="23"/>
      <c r="M29" s="32"/>
    </row>
    <row r="30" spans="1:13" x14ac:dyDescent="0.25">
      <c r="A30" s="18" t="s">
        <v>38</v>
      </c>
      <c r="B30" s="20"/>
      <c r="C30" s="20">
        <f>[1]FY25!F27</f>
        <v>0</v>
      </c>
      <c r="D30" s="20">
        <f t="shared" si="6"/>
        <v>0</v>
      </c>
      <c r="E30" s="31">
        <f t="shared" si="10"/>
        <v>0</v>
      </c>
      <c r="F30" s="32">
        <f>'[1]REV PED 1'!B30+'[1]REV PED 2'!B30+'[1]REV PED 3'!B30+'[1]REV PED 4'!B30</f>
        <v>16973893.760000002</v>
      </c>
      <c r="G30" s="32">
        <f>[1]FY25!C27+[1]FY25!D27+[1]FY25!E27+[1]FY25!F27</f>
        <v>23999480.170000002</v>
      </c>
      <c r="H30" s="32">
        <f t="shared" si="8"/>
        <v>-7025586.4100000001</v>
      </c>
      <c r="I30" s="31">
        <f>H30/G30</f>
        <v>-0.29273910769043127</v>
      </c>
      <c r="J30" s="23"/>
      <c r="K30" s="23"/>
      <c r="L30" s="23"/>
      <c r="M30" s="32"/>
    </row>
    <row r="31" spans="1:13" x14ac:dyDescent="0.25">
      <c r="A31" s="18" t="s">
        <v>22</v>
      </c>
      <c r="B31" s="20">
        <v>13838296.199999999</v>
      </c>
      <c r="C31" s="20">
        <f>[1]FY25!F28</f>
        <v>293851.64</v>
      </c>
      <c r="D31" s="20">
        <f t="shared" si="6"/>
        <v>13544444.559999999</v>
      </c>
      <c r="E31" s="31">
        <f t="shared" si="7"/>
        <v>46.092798937586323</v>
      </c>
      <c r="F31" s="32">
        <f>'[1]REV PED 1'!B31+'[1]REV PED 2'!B31+'[1]REV PED 3'!B31+'[1]REV PED 4'!B31</f>
        <v>43296701.140000001</v>
      </c>
      <c r="G31" s="32">
        <f>[1]FY25!C28+[1]FY25!D28+[1]FY25!E28+[1]FY25!F28</f>
        <v>22498170.059999999</v>
      </c>
      <c r="H31" s="32">
        <f t="shared" si="8"/>
        <v>20798531.080000002</v>
      </c>
      <c r="I31" s="31">
        <f t="shared" si="9"/>
        <v>0.9244543455993417</v>
      </c>
      <c r="J31" s="23"/>
      <c r="K31" s="23"/>
      <c r="L31" s="23"/>
      <c r="M31" s="32"/>
    </row>
    <row r="32" spans="1:13" x14ac:dyDescent="0.25">
      <c r="A32" s="18" t="s">
        <v>23</v>
      </c>
      <c r="B32" s="20"/>
      <c r="C32" s="20">
        <f>[1]FY25!F29</f>
        <v>0</v>
      </c>
      <c r="D32" s="20">
        <f t="shared" si="6"/>
        <v>0</v>
      </c>
      <c r="E32" s="31">
        <f t="shared" si="10"/>
        <v>0</v>
      </c>
      <c r="F32" s="32">
        <f>'[1]REV PED 1'!B32+'[1]REV PED 2'!B32+'[1]REV PED 3'!B32+'[1]REV PED 4'!B32</f>
        <v>297500</v>
      </c>
      <c r="G32" s="32">
        <f>[1]FY25!C29+[1]FY25!D29+[1]FY25!E29+[1]FY25!F29</f>
        <v>404005</v>
      </c>
      <c r="H32" s="32">
        <f t="shared" si="8"/>
        <v>-106505</v>
      </c>
      <c r="I32" s="31">
        <f>H32/G32</f>
        <v>-0.26362297496318116</v>
      </c>
      <c r="J32" s="23"/>
      <c r="K32" s="23"/>
      <c r="L32" s="23"/>
      <c r="M32" s="32"/>
    </row>
    <row r="33" spans="1:13" x14ac:dyDescent="0.25">
      <c r="A33" s="18" t="s">
        <v>49</v>
      </c>
      <c r="B33" s="20"/>
      <c r="C33" s="20">
        <f>[1]FY25!F30</f>
        <v>0</v>
      </c>
      <c r="D33" s="20">
        <f t="shared" si="6"/>
        <v>0</v>
      </c>
      <c r="E33" s="31">
        <f t="shared" si="10"/>
        <v>0</v>
      </c>
      <c r="F33" s="32">
        <f>'[1]REV PED 1'!B33+'[1]REV PED 2'!B33+'[1]REV PED 3'!B33+'[1]REV PED 4'!B33</f>
        <v>0</v>
      </c>
      <c r="G33" s="32">
        <f>[1]FY25!C30+[1]FY25!D30+[1]FY25!E30+[1]FY25!F30</f>
        <v>-24277.759999999998</v>
      </c>
      <c r="H33" s="32">
        <f t="shared" si="8"/>
        <v>24277.759999999998</v>
      </c>
      <c r="I33" s="31">
        <f>H33/G33</f>
        <v>-1</v>
      </c>
      <c r="J33" s="23"/>
      <c r="K33" s="23"/>
      <c r="L33" s="23"/>
      <c r="M33" s="32"/>
    </row>
    <row r="34" spans="1:13" x14ac:dyDescent="0.25">
      <c r="A34" s="18" t="s">
        <v>24</v>
      </c>
      <c r="B34" s="20"/>
      <c r="C34" s="20">
        <f>[1]FY25!F31</f>
        <v>0</v>
      </c>
      <c r="D34" s="20">
        <f t="shared" si="6"/>
        <v>0</v>
      </c>
      <c r="E34" s="31">
        <f t="shared" si="10"/>
        <v>0</v>
      </c>
      <c r="F34" s="32">
        <f>'[1]REV PED 1'!B34+'[1]REV PED 2'!B34+'[1]REV PED 3'!B34+'[1]REV PED 4'!B34</f>
        <v>30590861.879999999</v>
      </c>
      <c r="G34" s="32">
        <f>[1]FY25!C31+[1]FY25!D31+[1]FY25!E31+[1]FY25!F31</f>
        <v>30561948.210000001</v>
      </c>
      <c r="H34" s="32">
        <f t="shared" si="8"/>
        <v>28913.669999998063</v>
      </c>
      <c r="I34" s="31">
        <f>H34/G34</f>
        <v>9.4606763290493981E-4</v>
      </c>
      <c r="J34" s="23"/>
      <c r="K34" s="23"/>
      <c r="L34" s="23"/>
      <c r="M34" s="32"/>
    </row>
    <row r="35" spans="1:13" x14ac:dyDescent="0.25">
      <c r="A35" s="18" t="s">
        <v>25</v>
      </c>
      <c r="B35" s="21" t="s">
        <v>66</v>
      </c>
      <c r="C35" s="21" t="s">
        <v>66</v>
      </c>
      <c r="D35" s="21" t="s">
        <v>43</v>
      </c>
      <c r="E35" s="21" t="s">
        <v>42</v>
      </c>
      <c r="F35" s="21" t="s">
        <v>41</v>
      </c>
      <c r="G35" s="37" t="s">
        <v>67</v>
      </c>
      <c r="H35" s="21" t="s">
        <v>40</v>
      </c>
      <c r="I35" s="21" t="s">
        <v>39</v>
      </c>
      <c r="J35" s="23"/>
      <c r="K35" s="23"/>
      <c r="L35" s="23"/>
      <c r="M35" s="32"/>
    </row>
    <row r="36" spans="1:13" x14ac:dyDescent="0.25">
      <c r="A36" s="18" t="s">
        <v>26</v>
      </c>
      <c r="B36" s="20">
        <f>13625.15+239121.06+2234044.57+2574310.39</f>
        <v>5061101.17</v>
      </c>
      <c r="C36" s="20">
        <f>[1]FY25!F33</f>
        <v>3009675.23</v>
      </c>
      <c r="D36" s="20">
        <f>B36-C36</f>
        <v>2051425.94</v>
      </c>
      <c r="E36" s="31">
        <f>D36/C36</f>
        <v>0.68161040086707292</v>
      </c>
      <c r="F36" s="32">
        <f>'[1]REV PED 1'!B36+'[1]REV PED 2'!B36+'[1]REV PED 3'!B36+'[1]REV PED 4'!B36</f>
        <v>11886179.82</v>
      </c>
      <c r="G36" s="32">
        <f>[1]FY25!C33+[1]FY25!D33+[1]FY25!E33+[1]FY25!F33</f>
        <v>11177125.67</v>
      </c>
      <c r="H36" s="32">
        <f>F36-G36</f>
        <v>709054.15000000037</v>
      </c>
      <c r="I36" s="31">
        <f>H36/G36</f>
        <v>6.3437968842306167E-2</v>
      </c>
      <c r="J36" s="23"/>
      <c r="K36" s="23"/>
      <c r="L36" s="23"/>
      <c r="M36" s="32"/>
    </row>
    <row r="37" spans="1:13" x14ac:dyDescent="0.25">
      <c r="A37" s="18" t="s">
        <v>27</v>
      </c>
      <c r="B37" s="20">
        <f>254180.63+17607654.57+20323123.84</f>
        <v>38184959.039999999</v>
      </c>
      <c r="C37" s="20">
        <f>[1]FY25!F34</f>
        <v>22367161.830000002</v>
      </c>
      <c r="D37" s="20">
        <f>B37-C37</f>
        <v>15817797.209999997</v>
      </c>
      <c r="E37" s="31">
        <f>D37/C37</f>
        <v>0.70718839208219719</v>
      </c>
      <c r="F37" s="32">
        <f>'[1]REV PED 1'!B37+'[1]REV PED 2'!B37+'[1]REV PED 3'!B37+'[1]REV PED 4'!B37</f>
        <v>84497382.139999986</v>
      </c>
      <c r="G37" s="32">
        <f>[1]FY25!C34+[1]FY25!D34+[1]FY25!E34+[1]FY25!F34</f>
        <v>79631033.510000005</v>
      </c>
      <c r="H37" s="32">
        <f>F37-G37</f>
        <v>4866348.6299999803</v>
      </c>
      <c r="I37" s="31">
        <f>H37/G37</f>
        <v>6.1111207722663402E-2</v>
      </c>
      <c r="J37" s="23"/>
      <c r="K37" s="23"/>
      <c r="L37" s="23"/>
      <c r="M37" s="32"/>
    </row>
    <row r="38" spans="1:13" x14ac:dyDescent="0.25">
      <c r="A38" s="18" t="s">
        <v>44</v>
      </c>
      <c r="B38" s="20">
        <f>4049975.23</f>
        <v>4049975.23</v>
      </c>
      <c r="C38" s="20">
        <f>[1]FY25!F35</f>
        <v>302541.90000000002</v>
      </c>
      <c r="D38" s="20">
        <f>B38-C38</f>
        <v>3747433.33</v>
      </c>
      <c r="E38" s="31">
        <f>D38/C38</f>
        <v>12.386493672446692</v>
      </c>
      <c r="F38" s="32">
        <f>'[1]REV PED 1'!B38+'[1]REV PED 2'!B38+'[1]REV PED 3'!B38+'[1]REV PED 4'!B38</f>
        <v>15500177.110000001</v>
      </c>
      <c r="G38" s="32">
        <f>[1]FY25!C35+[1]FY25!D35+[1]FY25!E35+[1]FY25!F35</f>
        <v>11479684.060000001</v>
      </c>
      <c r="H38" s="32">
        <f>F38-G38</f>
        <v>4020493.0500000007</v>
      </c>
      <c r="I38" s="31">
        <f>H38/G38</f>
        <v>0.35022680319304889</v>
      </c>
      <c r="J38" s="23"/>
      <c r="K38" s="23"/>
      <c r="L38" s="23"/>
      <c r="M38" s="32"/>
    </row>
    <row r="39" spans="1:13" x14ac:dyDescent="0.25">
      <c r="A39" s="18" t="s">
        <v>45</v>
      </c>
      <c r="B39" s="20">
        <f>4220192.48+969762.36</f>
        <v>5189954.8400000008</v>
      </c>
      <c r="C39" s="20">
        <f>[1]FY25!F36</f>
        <v>1873444.57</v>
      </c>
      <c r="D39" s="20">
        <f>B39-C39</f>
        <v>3316510.2700000005</v>
      </c>
      <c r="E39" s="31">
        <f>D39/C39</f>
        <v>1.7702740305788713</v>
      </c>
      <c r="F39" s="32">
        <f>'[1]REV PED 1'!B39+'[1]REV PED 2'!B39+'[1]REV PED 3'!B39+'[1]REV PED 4'!B39</f>
        <v>95090601.150000006</v>
      </c>
      <c r="G39" s="32">
        <f>[1]FY25!C36+[1]FY25!D36+[1]FY25!E36+[1]FY25!F36</f>
        <v>16997524.48</v>
      </c>
      <c r="H39" s="32">
        <f>F39-G39</f>
        <v>78093076.670000002</v>
      </c>
      <c r="I39" s="31">
        <f>H39/G39</f>
        <v>4.5943794204789992</v>
      </c>
      <c r="J39" s="23"/>
      <c r="K39" s="23"/>
      <c r="L39" s="23"/>
      <c r="M39" s="32"/>
    </row>
    <row r="40" spans="1:13" x14ac:dyDescent="0.25">
      <c r="A40" s="18" t="s">
        <v>46</v>
      </c>
      <c r="B40" s="20">
        <f>7905261.14-25</f>
        <v>7905236.1399999997</v>
      </c>
      <c r="C40" s="20">
        <f>[1]FY25!F37</f>
        <v>1268735.0900000001</v>
      </c>
      <c r="D40" s="20">
        <f t="shared" ref="D40:D41" si="11">B40-C40</f>
        <v>6636501.0499999998</v>
      </c>
      <c r="E40" s="31">
        <f t="shared" ref="E40:E41" si="12">D40/C40</f>
        <v>5.2308012147752603</v>
      </c>
      <c r="F40" s="32">
        <f>'[1]REV PED 1'!B40+'[1]REV PED 2'!B40+'[1]REV PED 3'!B40+'[1]REV PED 4'!B40</f>
        <v>23607111.210000001</v>
      </c>
      <c r="G40" s="32">
        <f>[1]FY25!C37+[1]FY25!D37+[1]FY25!E37+[1]FY25!F37</f>
        <v>21020139.5</v>
      </c>
      <c r="H40" s="32">
        <f t="shared" ref="H40:H41" si="13">F40-G40</f>
        <v>2586971.7100000009</v>
      </c>
      <c r="I40" s="31">
        <f t="shared" ref="I40:I41" si="14">H40/G40</f>
        <v>0.12307110093156141</v>
      </c>
      <c r="J40" s="23"/>
      <c r="K40" s="23"/>
      <c r="L40" s="23"/>
      <c r="M40" s="32"/>
    </row>
    <row r="41" spans="1:13" x14ac:dyDescent="0.25">
      <c r="A41" s="18" t="s">
        <v>47</v>
      </c>
      <c r="B41" s="20">
        <f>2914369.39</f>
        <v>2914369.39</v>
      </c>
      <c r="C41" s="20">
        <f>[1]FY25!F38</f>
        <v>685136.89</v>
      </c>
      <c r="D41" s="20">
        <f t="shared" si="11"/>
        <v>2229232.5</v>
      </c>
      <c r="E41" s="31">
        <f t="shared" si="12"/>
        <v>3.253703796331854</v>
      </c>
      <c r="F41" s="32">
        <f>'[1]REV PED 1'!B41+'[1]REV PED 2'!B41+'[1]REV PED 3'!B41+'[1]REV PED 4'!B41</f>
        <v>11636523.100000001</v>
      </c>
      <c r="G41" s="32">
        <f>[1]FY25!C38+[1]FY25!D38+[1]FY25!E38+[1]FY25!F38</f>
        <v>9377067.0800000001</v>
      </c>
      <c r="H41" s="32">
        <f t="shared" si="13"/>
        <v>2259456.0200000014</v>
      </c>
      <c r="I41" s="31">
        <f t="shared" si="14"/>
        <v>0.24095551420540776</v>
      </c>
      <c r="J41" s="23"/>
      <c r="K41" s="23"/>
      <c r="L41" s="23"/>
      <c r="M41" s="32"/>
    </row>
    <row r="42" spans="1:13" x14ac:dyDescent="0.25">
      <c r="A42" s="23"/>
      <c r="B42" s="20"/>
      <c r="C42" s="23"/>
      <c r="D42" s="20"/>
      <c r="E42" s="31"/>
      <c r="F42" s="32"/>
      <c r="G42" s="32"/>
      <c r="H42" s="32"/>
      <c r="I42" s="31"/>
      <c r="J42" s="23"/>
      <c r="K42" s="23"/>
      <c r="L42" s="23"/>
      <c r="M42" s="32"/>
    </row>
    <row r="43" spans="1:13" x14ac:dyDescent="0.25">
      <c r="A43" s="18" t="s">
        <v>28</v>
      </c>
      <c r="B43" s="29" t="s">
        <v>4</v>
      </c>
      <c r="C43" s="29" t="s">
        <v>4</v>
      </c>
      <c r="D43" s="29" t="s">
        <v>4</v>
      </c>
      <c r="E43" s="30" t="s">
        <v>4</v>
      </c>
      <c r="F43" s="30" t="s">
        <v>4</v>
      </c>
      <c r="G43" s="30" t="s">
        <v>4</v>
      </c>
      <c r="H43" s="30" t="s">
        <v>4</v>
      </c>
      <c r="I43" s="30" t="s">
        <v>4</v>
      </c>
      <c r="J43" s="23"/>
      <c r="K43" s="23"/>
      <c r="L43" s="23"/>
      <c r="M43" s="23"/>
    </row>
    <row r="44" spans="1:13" x14ac:dyDescent="0.25">
      <c r="A44" s="23"/>
      <c r="B44" s="20">
        <f>SUM(B25:B41)</f>
        <v>93645851.060000017</v>
      </c>
      <c r="C44" s="20">
        <f t="shared" ref="C44:H44" si="15">SUM(C25:C41)</f>
        <v>41566187.530000009</v>
      </c>
      <c r="D44" s="20">
        <f t="shared" si="15"/>
        <v>52079663.529999994</v>
      </c>
      <c r="E44" s="31">
        <f>D44/C44</f>
        <v>1.2529333726460234</v>
      </c>
      <c r="F44" s="20">
        <f t="shared" si="15"/>
        <v>552152960.86000001</v>
      </c>
      <c r="G44" s="20">
        <f t="shared" si="15"/>
        <v>435688719.35000002</v>
      </c>
      <c r="H44" s="20">
        <f t="shared" si="15"/>
        <v>116464241.50999998</v>
      </c>
      <c r="I44" s="31">
        <f>H44/G44</f>
        <v>0.26731066547637933</v>
      </c>
      <c r="J44" s="23"/>
      <c r="K44" s="23"/>
      <c r="L44" s="23"/>
      <c r="M44" s="32"/>
    </row>
    <row r="45" spans="1:13" x14ac:dyDescent="0.25">
      <c r="A45" s="39" t="s">
        <v>29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23"/>
      <c r="B46" s="23"/>
      <c r="C46" s="20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50" spans="2:13" x14ac:dyDescent="0.25">
      <c r="B50" s="20"/>
      <c r="C50" s="20"/>
      <c r="D50" s="20"/>
      <c r="E50" s="23"/>
      <c r="F50" s="32"/>
      <c r="G50" s="32"/>
      <c r="H50" s="32"/>
      <c r="I50" s="23"/>
      <c r="J50" s="23"/>
      <c r="K50" s="23"/>
      <c r="L50" s="23"/>
      <c r="M50" s="38"/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FFBB9-715D-4CC0-A033-CE60F188C7C1}">
  <dimension ref="A1:M53"/>
  <sheetViews>
    <sheetView zoomScale="85" zoomScaleNormal="85" workbookViewId="0">
      <selection activeCell="A16" sqref="A16"/>
    </sheetView>
  </sheetViews>
  <sheetFormatPr defaultRowHeight="15" x14ac:dyDescent="0.25"/>
  <cols>
    <col min="1" max="1" width="74.7109375" bestFit="1" customWidth="1"/>
    <col min="2" max="3" width="17.42578125" bestFit="1" customWidth="1"/>
    <col min="4" max="4" width="14.42578125" customWidth="1"/>
    <col min="5" max="5" width="11.28515625" customWidth="1"/>
    <col min="6" max="6" width="15.85546875" customWidth="1"/>
    <col min="7" max="7" width="15.7109375" customWidth="1"/>
    <col min="8" max="8" width="15" bestFit="1" customWidth="1"/>
    <col min="9" max="9" width="10.140625" customWidth="1"/>
    <col min="13" max="13" width="14.85546875" bestFit="1" customWidth="1"/>
    <col min="14" max="14" width="15.5703125" bestFit="1" customWidth="1"/>
  </cols>
  <sheetData>
    <row r="1" spans="1:13" ht="18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6"/>
      <c r="K1" s="23"/>
      <c r="L1" s="23"/>
      <c r="M1" s="23"/>
    </row>
    <row r="2" spans="1:13" x14ac:dyDescent="0.25">
      <c r="A2" s="49" t="s">
        <v>83</v>
      </c>
      <c r="B2" s="49"/>
      <c r="C2" s="49"/>
      <c r="D2" s="49"/>
      <c r="E2" s="49"/>
      <c r="F2" s="49"/>
      <c r="G2" s="49"/>
      <c r="H2" s="49"/>
      <c r="I2" s="49"/>
      <c r="J2" s="26"/>
      <c r="K2" s="23"/>
      <c r="L2" s="23"/>
      <c r="M2" s="23"/>
    </row>
    <row r="3" spans="1:13" x14ac:dyDescent="0.25">
      <c r="A3" s="22"/>
      <c r="B3" s="23"/>
      <c r="C3" s="24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x14ac:dyDescent="0.25">
      <c r="A4" s="22"/>
      <c r="B4" s="23"/>
      <c r="C4" s="23"/>
      <c r="D4" s="25" t="s">
        <v>30</v>
      </c>
      <c r="E4" s="23"/>
      <c r="F4" s="26" t="s">
        <v>31</v>
      </c>
      <c r="G4" s="26" t="s">
        <v>32</v>
      </c>
      <c r="H4" s="27" t="s">
        <v>30</v>
      </c>
      <c r="I4" s="23"/>
      <c r="J4" s="23"/>
      <c r="K4" s="23"/>
      <c r="L4" s="23"/>
      <c r="M4" s="23"/>
    </row>
    <row r="5" spans="1:13" x14ac:dyDescent="0.25">
      <c r="A5" s="23"/>
      <c r="B5" s="28" t="s">
        <v>82</v>
      </c>
      <c r="C5" s="25" t="s">
        <v>54</v>
      </c>
      <c r="D5" s="24" t="s">
        <v>33</v>
      </c>
      <c r="E5" s="26" t="s">
        <v>34</v>
      </c>
      <c r="F5" s="26" t="s">
        <v>35</v>
      </c>
      <c r="G5" s="26" t="s">
        <v>35</v>
      </c>
      <c r="H5" s="26" t="s">
        <v>33</v>
      </c>
      <c r="I5" s="26" t="s">
        <v>34</v>
      </c>
      <c r="J5" s="23"/>
      <c r="K5" s="23"/>
      <c r="L5" s="23"/>
    </row>
    <row r="6" spans="1:13" x14ac:dyDescent="0.25">
      <c r="A6" s="23"/>
      <c r="B6" s="29" t="s">
        <v>4</v>
      </c>
      <c r="C6" s="29" t="s">
        <v>4</v>
      </c>
      <c r="D6" s="29" t="s">
        <v>4</v>
      </c>
      <c r="E6" s="30" t="s">
        <v>4</v>
      </c>
      <c r="F6" s="30" t="s">
        <v>4</v>
      </c>
      <c r="G6" s="30" t="s">
        <v>4</v>
      </c>
      <c r="H6" s="30" t="s">
        <v>4</v>
      </c>
      <c r="I6" s="30" t="s">
        <v>4</v>
      </c>
      <c r="J6" s="23"/>
      <c r="K6" s="23"/>
      <c r="L6" s="23"/>
    </row>
    <row r="7" spans="1:13" x14ac:dyDescent="0.25">
      <c r="A7" s="14" t="s">
        <v>81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3" x14ac:dyDescent="0.25">
      <c r="A8" s="14" t="s">
        <v>36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x14ac:dyDescent="0.25">
      <c r="A9" s="1" t="s">
        <v>5</v>
      </c>
      <c r="B9" s="20">
        <v>149884960.56999999</v>
      </c>
      <c r="C9" s="20">
        <v>69663504.780000001</v>
      </c>
      <c r="D9" s="20">
        <v>80221455.789999992</v>
      </c>
      <c r="E9" s="31">
        <v>1.1515564145579871</v>
      </c>
      <c r="F9" s="32">
        <v>776472837.02999997</v>
      </c>
      <c r="G9" s="32">
        <v>657760469.20999992</v>
      </c>
      <c r="H9" s="32">
        <v>118712367.82000005</v>
      </c>
      <c r="I9" s="31">
        <v>0.18047963259722644</v>
      </c>
      <c r="J9" s="23"/>
      <c r="K9" s="23"/>
      <c r="L9" s="23"/>
      <c r="M9" s="32"/>
    </row>
    <row r="10" spans="1:13" x14ac:dyDescent="0.25">
      <c r="A10" s="1" t="s">
        <v>6</v>
      </c>
      <c r="B10" s="20">
        <v>191512052.38</v>
      </c>
      <c r="C10" s="20">
        <v>90569451.030000001</v>
      </c>
      <c r="D10" s="20">
        <v>100942601.34999999</v>
      </c>
      <c r="E10" s="31">
        <v>1.1145325515616078</v>
      </c>
      <c r="F10" s="32">
        <v>975293189.34000003</v>
      </c>
      <c r="G10" s="32">
        <v>831230154.29999995</v>
      </c>
      <c r="H10" s="32">
        <v>144063035.04000008</v>
      </c>
      <c r="I10" s="31">
        <v>0.17331305210085796</v>
      </c>
      <c r="J10" s="23"/>
      <c r="K10" s="23"/>
      <c r="L10" s="23"/>
      <c r="M10" s="32"/>
    </row>
    <row r="11" spans="1:13" x14ac:dyDescent="0.25">
      <c r="A11" s="1" t="s">
        <v>7</v>
      </c>
      <c r="B11" s="20">
        <v>36597190.109999999</v>
      </c>
      <c r="C11" s="20">
        <v>17433408.420000002</v>
      </c>
      <c r="D11" s="20">
        <v>19163781.689999998</v>
      </c>
      <c r="E11" s="31">
        <v>1.0992561654217239</v>
      </c>
      <c r="F11" s="32">
        <v>186050539.34000003</v>
      </c>
      <c r="G11" s="32">
        <v>159706794.41000003</v>
      </c>
      <c r="H11" s="32">
        <v>26343744.930000007</v>
      </c>
      <c r="I11" s="31">
        <v>0.16495068370335092</v>
      </c>
      <c r="J11" s="23"/>
      <c r="K11" s="23"/>
      <c r="L11" s="23"/>
      <c r="M11" s="32"/>
    </row>
    <row r="12" spans="1:13" x14ac:dyDescent="0.25">
      <c r="A12" s="1" t="s">
        <v>8</v>
      </c>
      <c r="B12" s="20">
        <v>128026215.67</v>
      </c>
      <c r="C12" s="20">
        <v>60950824.259999998</v>
      </c>
      <c r="D12" s="20">
        <v>67075391.410000004</v>
      </c>
      <c r="E12" s="31">
        <v>1.1004837461077512</v>
      </c>
      <c r="F12" s="32">
        <v>651164909.18999994</v>
      </c>
      <c r="G12" s="32">
        <v>558841166.04000008</v>
      </c>
      <c r="H12" s="32">
        <v>92323743.149999857</v>
      </c>
      <c r="I12" s="31">
        <v>0.16520569485640149</v>
      </c>
      <c r="J12" s="23"/>
      <c r="K12" s="23"/>
      <c r="L12" s="23"/>
      <c r="M12" s="32"/>
    </row>
    <row r="13" spans="1:13" x14ac:dyDescent="0.25">
      <c r="A13" s="1" t="s">
        <v>9</v>
      </c>
      <c r="B13" s="20">
        <v>95479373.810000002</v>
      </c>
      <c r="C13" s="20">
        <v>48872351.219999999</v>
      </c>
      <c r="D13" s="20">
        <v>46607022.590000004</v>
      </c>
      <c r="E13" s="31">
        <v>0.95364805307191858</v>
      </c>
      <c r="F13" s="32">
        <v>505528285.89000005</v>
      </c>
      <c r="G13" s="32">
        <v>439554985.16000009</v>
      </c>
      <c r="H13" s="32">
        <v>65973300.729999959</v>
      </c>
      <c r="I13" s="31">
        <v>0.15009112160560611</v>
      </c>
      <c r="J13" s="23"/>
      <c r="K13" s="23"/>
      <c r="L13" s="23"/>
      <c r="M13" s="32"/>
    </row>
    <row r="14" spans="1:13" x14ac:dyDescent="0.25">
      <c r="A14" s="23"/>
      <c r="B14" s="29" t="s">
        <v>4</v>
      </c>
      <c r="C14" s="29" t="s">
        <v>4</v>
      </c>
      <c r="D14" s="29" t="s">
        <v>4</v>
      </c>
      <c r="E14" s="30" t="s">
        <v>4</v>
      </c>
      <c r="F14" s="30" t="s">
        <v>4</v>
      </c>
      <c r="G14" s="30" t="s">
        <v>4</v>
      </c>
      <c r="H14" s="30" t="s">
        <v>4</v>
      </c>
      <c r="I14" s="30" t="s">
        <v>4</v>
      </c>
      <c r="J14" s="23"/>
      <c r="K14" s="23"/>
      <c r="L14" s="23"/>
      <c r="M14" s="32"/>
    </row>
    <row r="15" spans="1:13" x14ac:dyDescent="0.25">
      <c r="A15" s="18" t="s">
        <v>10</v>
      </c>
      <c r="B15" s="33">
        <v>601499792.53999996</v>
      </c>
      <c r="C15" s="33">
        <v>287489539.71000004</v>
      </c>
      <c r="D15" s="33">
        <v>314010252.82999998</v>
      </c>
      <c r="E15" s="34">
        <v>1.0922493150420438</v>
      </c>
      <c r="F15" s="35">
        <v>3094509760.79</v>
      </c>
      <c r="G15" s="35">
        <v>2647093569.1199999</v>
      </c>
      <c r="H15" s="35">
        <v>447416191.66999996</v>
      </c>
      <c r="I15" s="34">
        <v>0.16902167603343884</v>
      </c>
      <c r="J15" s="18"/>
      <c r="K15" s="23"/>
      <c r="L15" s="23"/>
      <c r="M15" s="45"/>
    </row>
    <row r="16" spans="1:13" x14ac:dyDescent="0.25">
      <c r="A16" s="23"/>
      <c r="B16" s="20"/>
      <c r="C16" s="20"/>
      <c r="D16" s="23"/>
      <c r="E16" s="31"/>
      <c r="F16" s="23"/>
      <c r="G16" s="23"/>
      <c r="H16" s="23"/>
      <c r="I16" s="23"/>
      <c r="J16" s="23"/>
      <c r="K16" s="23"/>
      <c r="L16" s="23"/>
      <c r="M16" s="45"/>
    </row>
    <row r="17" spans="1:13" x14ac:dyDescent="0.25">
      <c r="A17" s="1" t="s">
        <v>11</v>
      </c>
      <c r="B17" s="20"/>
      <c r="C17" s="20">
        <v>0</v>
      </c>
      <c r="D17" s="20">
        <v>0</v>
      </c>
      <c r="E17" s="31">
        <v>0</v>
      </c>
      <c r="F17" s="32">
        <v>13605.25</v>
      </c>
      <c r="G17" s="32">
        <v>108059.78</v>
      </c>
      <c r="H17" s="32">
        <v>-94454.53</v>
      </c>
      <c r="I17" s="31">
        <v>-0.87409515362700163</v>
      </c>
      <c r="J17" s="23"/>
      <c r="K17" s="23"/>
      <c r="L17" s="23"/>
      <c r="M17" s="32"/>
    </row>
    <row r="18" spans="1:13" x14ac:dyDescent="0.25">
      <c r="A18" s="18" t="s">
        <v>12</v>
      </c>
      <c r="B18" s="20"/>
      <c r="C18" s="20">
        <v>0</v>
      </c>
      <c r="D18" s="20">
        <v>0</v>
      </c>
      <c r="E18" s="31">
        <v>0</v>
      </c>
      <c r="F18" s="32">
        <v>165827964.24000001</v>
      </c>
      <c r="G18" s="32">
        <v>168880719.26999998</v>
      </c>
      <c r="H18" s="32">
        <v>-3052755.0299999714</v>
      </c>
      <c r="I18" s="31">
        <v>-1.8076397608890713E-2</v>
      </c>
      <c r="J18" s="23"/>
      <c r="K18" s="23"/>
      <c r="L18" s="23"/>
      <c r="M18" s="32"/>
    </row>
    <row r="19" spans="1:13" x14ac:dyDescent="0.25">
      <c r="A19" s="23"/>
      <c r="B19" s="29" t="s">
        <v>4</v>
      </c>
      <c r="C19" s="29" t="s">
        <v>4</v>
      </c>
      <c r="D19" s="29" t="s">
        <v>4</v>
      </c>
      <c r="E19" s="30" t="s">
        <v>4</v>
      </c>
      <c r="F19" s="30" t="s">
        <v>4</v>
      </c>
      <c r="G19" s="30" t="s">
        <v>4</v>
      </c>
      <c r="H19" s="30" t="s">
        <v>4</v>
      </c>
      <c r="I19" s="30" t="s">
        <v>4</v>
      </c>
      <c r="J19" s="23"/>
      <c r="K19" s="23"/>
      <c r="L19" s="23"/>
      <c r="M19" s="32"/>
    </row>
    <row r="20" spans="1:13" x14ac:dyDescent="0.25">
      <c r="A20" s="18" t="s">
        <v>13</v>
      </c>
      <c r="B20" s="20">
        <v>601499792.53999996</v>
      </c>
      <c r="C20" s="20">
        <v>287489539.71000004</v>
      </c>
      <c r="D20" s="20">
        <v>314010252.82999998</v>
      </c>
      <c r="E20" s="31">
        <v>1.0922493150420438</v>
      </c>
      <c r="F20" s="20">
        <v>3260351330.2799997</v>
      </c>
      <c r="G20" s="20">
        <v>2816082348.1700001</v>
      </c>
      <c r="H20" s="20">
        <v>444268982.11000001</v>
      </c>
      <c r="I20" s="31">
        <v>0.15776136035180338</v>
      </c>
      <c r="J20" s="23"/>
      <c r="K20" s="23"/>
      <c r="L20" s="23"/>
      <c r="M20" s="32"/>
    </row>
    <row r="21" spans="1:13" x14ac:dyDescent="0.25">
      <c r="A21" s="18"/>
      <c r="B21" s="20"/>
      <c r="C21" s="20"/>
      <c r="D21" s="20"/>
      <c r="E21" s="31"/>
      <c r="F21" s="32"/>
      <c r="G21" s="32"/>
      <c r="H21" s="32"/>
      <c r="I21" s="31"/>
      <c r="J21" s="23"/>
      <c r="K21" s="23"/>
      <c r="L21" s="23"/>
      <c r="M21" s="32"/>
    </row>
    <row r="22" spans="1:13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32"/>
    </row>
    <row r="23" spans="1:13" x14ac:dyDescent="0.25">
      <c r="A23" s="14" t="s">
        <v>80</v>
      </c>
      <c r="B23" s="20"/>
      <c r="C23" s="20"/>
      <c r="D23" s="20"/>
      <c r="E23" s="31"/>
      <c r="F23" s="32"/>
      <c r="G23" s="32"/>
      <c r="H23" s="32"/>
      <c r="I23" s="31"/>
      <c r="J23" s="23"/>
      <c r="K23" s="23"/>
      <c r="L23" s="23"/>
      <c r="M23" s="32"/>
    </row>
    <row r="24" spans="1:13" x14ac:dyDescent="0.25">
      <c r="A24" s="36" t="s">
        <v>37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32"/>
    </row>
    <row r="25" spans="1:13" x14ac:dyDescent="0.25">
      <c r="A25" s="18" t="s">
        <v>16</v>
      </c>
      <c r="B25" s="20">
        <v>9166476.3800000008</v>
      </c>
      <c r="C25" s="20">
        <v>5494230</v>
      </c>
      <c r="D25" s="20">
        <v>3672246.3800000008</v>
      </c>
      <c r="E25" s="31">
        <v>0.66838235385122224</v>
      </c>
      <c r="F25" s="32">
        <v>36700941.380000003</v>
      </c>
      <c r="G25" s="32">
        <v>47689427.700000003</v>
      </c>
      <c r="H25" s="32">
        <v>-10988486.32</v>
      </c>
      <c r="I25" s="31">
        <v>-0.2304176596357016</v>
      </c>
      <c r="J25" s="23"/>
      <c r="K25" s="23"/>
      <c r="L25" s="23"/>
      <c r="M25" s="32"/>
    </row>
    <row r="26" spans="1:13" x14ac:dyDescent="0.25">
      <c r="A26" s="18" t="s">
        <v>17</v>
      </c>
      <c r="B26" s="20">
        <v>2912430.3</v>
      </c>
      <c r="C26" s="20">
        <v>1345055.94</v>
      </c>
      <c r="D26" s="20">
        <v>1567374.3599999999</v>
      </c>
      <c r="E26" s="31">
        <v>1.1652856311686188</v>
      </c>
      <c r="F26" s="32">
        <v>15060049.48</v>
      </c>
      <c r="G26" s="32">
        <v>10653567.34</v>
      </c>
      <c r="H26" s="32">
        <v>4406482.1400000006</v>
      </c>
      <c r="I26" s="31">
        <v>0.41361564623103991</v>
      </c>
      <c r="J26" s="23"/>
      <c r="K26" s="23"/>
      <c r="L26" s="23"/>
      <c r="M26" s="32"/>
    </row>
    <row r="27" spans="1:13" x14ac:dyDescent="0.25">
      <c r="A27" s="18" t="s">
        <v>18</v>
      </c>
      <c r="B27" s="20">
        <v>3897831.53</v>
      </c>
      <c r="C27" s="20">
        <v>16196.91</v>
      </c>
      <c r="D27" s="20">
        <v>3881634.6199999996</v>
      </c>
      <c r="E27" s="31">
        <v>239.65278685872798</v>
      </c>
      <c r="F27" s="32">
        <v>23274704.690000001</v>
      </c>
      <c r="G27" s="32">
        <v>12876382.93</v>
      </c>
      <c r="H27" s="32">
        <v>10398321.760000002</v>
      </c>
      <c r="I27" s="31">
        <v>0.8075499009720738</v>
      </c>
      <c r="J27" s="23"/>
      <c r="K27" s="23"/>
      <c r="L27" s="23"/>
      <c r="M27" s="32"/>
    </row>
    <row r="28" spans="1:13" x14ac:dyDescent="0.25">
      <c r="A28" s="18" t="s">
        <v>19</v>
      </c>
      <c r="B28" s="20"/>
      <c r="C28" s="20">
        <v>0</v>
      </c>
      <c r="D28" s="20">
        <v>0</v>
      </c>
      <c r="E28" s="31">
        <v>0</v>
      </c>
      <c r="F28" s="32">
        <v>158911473.31999999</v>
      </c>
      <c r="G28" s="32">
        <v>143516423.12</v>
      </c>
      <c r="H28" s="32">
        <v>15395050.199999988</v>
      </c>
      <c r="I28" s="31">
        <v>0.10727030304488254</v>
      </c>
      <c r="J28" s="23"/>
      <c r="K28" s="23"/>
      <c r="L28" s="23"/>
      <c r="M28" s="32"/>
    </row>
    <row r="29" spans="1:13" x14ac:dyDescent="0.25">
      <c r="A29" s="18" t="s">
        <v>20</v>
      </c>
      <c r="B29" s="20">
        <v>181097.35</v>
      </c>
      <c r="C29" s="20">
        <v>228882.65</v>
      </c>
      <c r="D29" s="20">
        <v>-47785.299999999988</v>
      </c>
      <c r="E29" s="31">
        <v>-0.2087764188329696</v>
      </c>
      <c r="F29" s="32">
        <v>986696.24</v>
      </c>
      <c r="G29" s="32">
        <v>915383.78</v>
      </c>
      <c r="H29" s="32">
        <v>71312.459999999963</v>
      </c>
      <c r="I29" s="31">
        <v>7.7904439163210826E-2</v>
      </c>
      <c r="J29" s="23"/>
      <c r="K29" s="23"/>
      <c r="L29" s="23"/>
      <c r="M29" s="32"/>
    </row>
    <row r="30" spans="1:13" x14ac:dyDescent="0.25">
      <c r="A30" s="18" t="s">
        <v>38</v>
      </c>
      <c r="B30" s="20"/>
      <c r="C30" s="20">
        <v>0</v>
      </c>
      <c r="D30" s="20">
        <v>0</v>
      </c>
      <c r="E30" s="31">
        <v>0</v>
      </c>
      <c r="F30" s="32">
        <v>16973893.760000002</v>
      </c>
      <c r="G30" s="32">
        <v>23999480.170000002</v>
      </c>
      <c r="H30" s="32">
        <v>-7025586.4100000001</v>
      </c>
      <c r="I30" s="31">
        <v>-0.29273910769043127</v>
      </c>
      <c r="J30" s="23"/>
      <c r="K30" s="23"/>
      <c r="L30" s="23"/>
      <c r="M30" s="32"/>
    </row>
    <row r="31" spans="1:13" x14ac:dyDescent="0.25">
      <c r="A31" s="18" t="s">
        <v>22</v>
      </c>
      <c r="B31" s="20">
        <v>12628959.050000001</v>
      </c>
      <c r="C31" s="20">
        <v>2490655.16</v>
      </c>
      <c r="D31" s="20">
        <v>10138303.890000001</v>
      </c>
      <c r="E31" s="31">
        <v>4.070536962652028</v>
      </c>
      <c r="F31" s="32">
        <v>55925660.189999998</v>
      </c>
      <c r="G31" s="32">
        <v>24988825.219999999</v>
      </c>
      <c r="H31" s="32">
        <v>30936834.969999999</v>
      </c>
      <c r="I31" s="31">
        <v>1.238026785878652</v>
      </c>
      <c r="J31" s="23"/>
      <c r="K31" s="23"/>
      <c r="L31" s="23"/>
      <c r="M31" s="32"/>
    </row>
    <row r="32" spans="1:13" x14ac:dyDescent="0.25">
      <c r="A32" s="18" t="s">
        <v>23</v>
      </c>
      <c r="B32" s="20"/>
      <c r="C32" s="20">
        <v>0</v>
      </c>
      <c r="D32" s="20">
        <v>0</v>
      </c>
      <c r="E32" s="31">
        <v>0</v>
      </c>
      <c r="F32" s="32">
        <v>297500</v>
      </c>
      <c r="G32" s="32">
        <v>404005</v>
      </c>
      <c r="H32" s="32">
        <v>-106505</v>
      </c>
      <c r="I32" s="31">
        <v>-0.26362297496318116</v>
      </c>
      <c r="J32" s="23"/>
      <c r="K32" s="23"/>
      <c r="L32" s="23"/>
      <c r="M32" s="32"/>
    </row>
    <row r="33" spans="1:13" x14ac:dyDescent="0.25">
      <c r="A33" s="18" t="s">
        <v>49</v>
      </c>
      <c r="B33" s="20"/>
      <c r="C33" s="20">
        <v>0</v>
      </c>
      <c r="D33" s="20">
        <v>0</v>
      </c>
      <c r="E33" s="31">
        <v>0</v>
      </c>
      <c r="F33" s="32">
        <v>0</v>
      </c>
      <c r="G33" s="32">
        <v>-24277.759999999998</v>
      </c>
      <c r="H33" s="32">
        <v>24277.759999999998</v>
      </c>
      <c r="I33" s="31">
        <v>-1</v>
      </c>
      <c r="J33" s="23"/>
      <c r="K33" s="23"/>
      <c r="L33" s="23"/>
      <c r="M33" s="32"/>
    </row>
    <row r="34" spans="1:13" x14ac:dyDescent="0.25">
      <c r="A34" s="18" t="s">
        <v>24</v>
      </c>
      <c r="B34" s="20"/>
      <c r="C34" s="20">
        <v>0</v>
      </c>
      <c r="D34" s="20">
        <v>0</v>
      </c>
      <c r="E34" s="31">
        <v>0</v>
      </c>
      <c r="F34" s="32">
        <v>30590861.879999999</v>
      </c>
      <c r="G34" s="32">
        <v>30561948.210000001</v>
      </c>
      <c r="H34" s="32">
        <v>28913.669999998063</v>
      </c>
      <c r="I34" s="31">
        <v>9.4606763290493981E-4</v>
      </c>
      <c r="J34" s="23"/>
      <c r="K34" s="23"/>
      <c r="L34" s="23"/>
      <c r="M34" s="32"/>
    </row>
    <row r="35" spans="1:13" x14ac:dyDescent="0.25">
      <c r="A35" s="18" t="s">
        <v>25</v>
      </c>
      <c r="B35" s="21" t="s">
        <v>66</v>
      </c>
      <c r="C35" s="21" t="s">
        <v>66</v>
      </c>
      <c r="D35" s="21" t="s">
        <v>43</v>
      </c>
      <c r="E35" s="21" t="s">
        <v>42</v>
      </c>
      <c r="F35" s="21" t="s">
        <v>41</v>
      </c>
      <c r="G35" s="37" t="s">
        <v>67</v>
      </c>
      <c r="H35" s="21" t="s">
        <v>40</v>
      </c>
      <c r="I35" s="21" t="s">
        <v>39</v>
      </c>
      <c r="J35" s="23"/>
      <c r="K35" s="23"/>
      <c r="L35" s="23"/>
      <c r="M35" s="32"/>
    </row>
    <row r="36" spans="1:13" x14ac:dyDescent="0.25">
      <c r="A36" s="18" t="s">
        <v>26</v>
      </c>
      <c r="B36" s="20">
        <v>449131.52999999997</v>
      </c>
      <c r="C36" s="20">
        <v>0</v>
      </c>
      <c r="D36" s="20">
        <v>449131.52999999997</v>
      </c>
      <c r="E36" s="31">
        <v>0</v>
      </c>
      <c r="F36" s="32">
        <v>12335311.35</v>
      </c>
      <c r="G36" s="32">
        <v>11177125.67</v>
      </c>
      <c r="H36" s="32">
        <v>1158185.6799999997</v>
      </c>
      <c r="I36" s="31">
        <v>0.10362106629154504</v>
      </c>
      <c r="J36" s="23"/>
      <c r="K36" s="23"/>
      <c r="L36" s="23"/>
      <c r="M36" s="32"/>
    </row>
    <row r="37" spans="1:13" x14ac:dyDescent="0.25">
      <c r="A37" s="18" t="s">
        <v>27</v>
      </c>
      <c r="B37" s="20">
        <v>2320877.35</v>
      </c>
      <c r="C37" s="20">
        <v>0</v>
      </c>
      <c r="D37" s="20">
        <v>2320877.35</v>
      </c>
      <c r="E37" s="31">
        <v>0</v>
      </c>
      <c r="F37" s="32">
        <v>86818259.48999998</v>
      </c>
      <c r="G37" s="32">
        <v>79631033.510000005</v>
      </c>
      <c r="H37" s="32">
        <v>7187225.9799999744</v>
      </c>
      <c r="I37" s="31">
        <v>9.0256595490468022E-2</v>
      </c>
      <c r="J37" s="23"/>
      <c r="K37" s="23"/>
      <c r="L37" s="23"/>
      <c r="M37" s="32"/>
    </row>
    <row r="38" spans="1:13" x14ac:dyDescent="0.25">
      <c r="A38" s="18" t="s">
        <v>44</v>
      </c>
      <c r="B38" s="20">
        <v>3201189.85</v>
      </c>
      <c r="C38" s="20">
        <v>2868441.23</v>
      </c>
      <c r="D38" s="20">
        <v>332748.62000000011</v>
      </c>
      <c r="E38" s="31">
        <v>0.11600329005171918</v>
      </c>
      <c r="F38" s="32">
        <v>18701366.960000001</v>
      </c>
      <c r="G38" s="32">
        <v>14348125.290000001</v>
      </c>
      <c r="H38" s="32">
        <v>4353241.67</v>
      </c>
      <c r="I38" s="31">
        <v>0.30340142576215262</v>
      </c>
      <c r="J38" s="23"/>
      <c r="K38" s="23"/>
      <c r="L38" s="23"/>
      <c r="M38" s="32"/>
    </row>
    <row r="39" spans="1:13" x14ac:dyDescent="0.25">
      <c r="A39" s="18" t="s">
        <v>45</v>
      </c>
      <c r="B39" s="20">
        <v>4320748.5999999996</v>
      </c>
      <c r="C39" s="20">
        <v>1134136.29</v>
      </c>
      <c r="D39" s="20">
        <v>3186612.3099999996</v>
      </c>
      <c r="E39" s="31">
        <v>2.8097260779830964</v>
      </c>
      <c r="F39" s="32">
        <v>99411349.75</v>
      </c>
      <c r="G39" s="32">
        <v>18131660.77</v>
      </c>
      <c r="H39" s="32">
        <v>81279688.980000004</v>
      </c>
      <c r="I39" s="31">
        <v>4.4827492644514111</v>
      </c>
      <c r="J39" s="23"/>
      <c r="K39" s="23"/>
      <c r="L39" s="23"/>
      <c r="M39" s="32"/>
    </row>
    <row r="40" spans="1:13" x14ac:dyDescent="0.25">
      <c r="A40" s="18" t="s">
        <v>46</v>
      </c>
      <c r="B40" s="20">
        <v>5886889.6100000003</v>
      </c>
      <c r="C40" s="20">
        <v>9543131.8499999996</v>
      </c>
      <c r="D40" s="20">
        <v>-3656242.2399999993</v>
      </c>
      <c r="E40" s="31">
        <v>-0.38312812790069534</v>
      </c>
      <c r="F40" s="32">
        <v>29494000.82</v>
      </c>
      <c r="G40" s="32">
        <v>30563271.350000001</v>
      </c>
      <c r="H40" s="32">
        <v>-1069270.5300000012</v>
      </c>
      <c r="I40" s="31">
        <v>-3.498547383083065E-2</v>
      </c>
      <c r="J40" s="23"/>
      <c r="K40" s="23"/>
      <c r="L40" s="23"/>
      <c r="M40" s="32"/>
    </row>
    <row r="41" spans="1:13" x14ac:dyDescent="0.25">
      <c r="A41" s="18" t="s">
        <v>47</v>
      </c>
      <c r="B41" s="20">
        <v>2899023.51</v>
      </c>
      <c r="C41" s="20">
        <v>4760337.75</v>
      </c>
      <c r="D41" s="20">
        <v>-1861314.2400000002</v>
      </c>
      <c r="E41" s="31">
        <v>-0.39100465928074118</v>
      </c>
      <c r="F41" s="32">
        <v>14535546.610000001</v>
      </c>
      <c r="G41" s="32">
        <v>14137404.83</v>
      </c>
      <c r="H41" s="32">
        <v>398141.78000000119</v>
      </c>
      <c r="I41" s="31">
        <v>2.8162296035771171E-2</v>
      </c>
      <c r="J41" s="23"/>
      <c r="K41" s="23"/>
      <c r="L41" s="23"/>
      <c r="M41" s="32"/>
    </row>
    <row r="42" spans="1:13" x14ac:dyDescent="0.25">
      <c r="A42" s="23"/>
      <c r="B42" s="20"/>
      <c r="C42" s="23"/>
      <c r="D42" s="20"/>
      <c r="E42" s="31"/>
      <c r="F42" s="32"/>
      <c r="G42" s="32"/>
      <c r="H42" s="32"/>
      <c r="I42" s="31"/>
      <c r="J42" s="23"/>
      <c r="K42" s="23"/>
      <c r="L42" s="23"/>
      <c r="M42" s="32"/>
    </row>
    <row r="43" spans="1:13" x14ac:dyDescent="0.25">
      <c r="A43" s="18" t="s">
        <v>28</v>
      </c>
      <c r="B43" s="29" t="s">
        <v>4</v>
      </c>
      <c r="C43" s="29" t="s">
        <v>4</v>
      </c>
      <c r="D43" s="29" t="s">
        <v>4</v>
      </c>
      <c r="E43" s="30" t="s">
        <v>4</v>
      </c>
      <c r="F43" s="30" t="s">
        <v>4</v>
      </c>
      <c r="G43" s="30" t="s">
        <v>4</v>
      </c>
      <c r="H43" s="30" t="s">
        <v>4</v>
      </c>
      <c r="I43" s="30" t="s">
        <v>4</v>
      </c>
      <c r="J43" s="23"/>
      <c r="K43" s="23"/>
      <c r="L43" s="23"/>
      <c r="M43" s="23"/>
    </row>
    <row r="44" spans="1:13" x14ac:dyDescent="0.25">
      <c r="A44" s="23"/>
      <c r="B44" s="20">
        <v>47864655.060000002</v>
      </c>
      <c r="C44" s="20">
        <v>27881067.780000001</v>
      </c>
      <c r="D44" s="20">
        <v>19983587.280000001</v>
      </c>
      <c r="E44" s="31">
        <v>0.71674397256531475</v>
      </c>
      <c r="F44" s="20">
        <v>600017615.92000008</v>
      </c>
      <c r="G44" s="20">
        <v>463569787.13000005</v>
      </c>
      <c r="H44" s="20">
        <v>136447828.78999996</v>
      </c>
      <c r="I44" s="31">
        <v>0.29434150494310696</v>
      </c>
      <c r="J44" s="23"/>
      <c r="K44" s="23"/>
      <c r="L44" s="23"/>
      <c r="M44" s="32"/>
    </row>
    <row r="45" spans="1:13" x14ac:dyDescent="0.25">
      <c r="A45" s="39" t="s">
        <v>29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32"/>
    </row>
    <row r="47" spans="1:13" x14ac:dyDescent="0.25">
      <c r="B47" s="44"/>
    </row>
    <row r="48" spans="1:13" x14ac:dyDescent="0.25">
      <c r="A48" s="23"/>
      <c r="B48" s="20"/>
      <c r="C48" s="20"/>
      <c r="D48" s="20"/>
      <c r="E48" s="23"/>
      <c r="F48" s="32"/>
      <c r="G48" s="32"/>
      <c r="H48" s="32"/>
      <c r="I48" s="23"/>
      <c r="J48" s="23"/>
      <c r="K48" s="23"/>
      <c r="L48" s="23"/>
      <c r="M48" s="38"/>
    </row>
    <row r="49" spans="1:13" x14ac:dyDescent="0.25">
      <c r="A49" s="23"/>
      <c r="B49" s="23"/>
      <c r="C49" s="20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3" spans="1:13" x14ac:dyDescent="0.25">
      <c r="B53" s="20"/>
      <c r="C53" s="20"/>
      <c r="D53" s="20"/>
      <c r="E53" s="23"/>
      <c r="F53" s="32"/>
      <c r="G53" s="32"/>
      <c r="H53" s="32"/>
      <c r="I53" s="23"/>
      <c r="J53" s="23"/>
      <c r="K53" s="23"/>
      <c r="L53" s="23"/>
      <c r="M53" s="38"/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17F52-8A83-4B18-A821-3B0485E205C6}">
  <dimension ref="A1:O53"/>
  <sheetViews>
    <sheetView topLeftCell="A12" zoomScale="85" zoomScaleNormal="85" workbookViewId="0">
      <selection activeCell="F27" sqref="F27:F35"/>
    </sheetView>
  </sheetViews>
  <sheetFormatPr defaultRowHeight="15" x14ac:dyDescent="0.25"/>
  <cols>
    <col min="1" max="1" width="72.85546875" bestFit="1" customWidth="1"/>
    <col min="2" max="3" width="17.42578125" bestFit="1" customWidth="1"/>
    <col min="4" max="4" width="14.42578125" customWidth="1"/>
    <col min="5" max="5" width="11.28515625" customWidth="1"/>
    <col min="6" max="6" width="15.85546875" customWidth="1"/>
    <col min="7" max="7" width="15.7109375" customWidth="1"/>
    <col min="8" max="8" width="15" bestFit="1" customWidth="1"/>
    <col min="9" max="9" width="10.140625" customWidth="1"/>
    <col min="14" max="14" width="15.85546875" bestFit="1" customWidth="1"/>
  </cols>
  <sheetData>
    <row r="1" spans="1:12" ht="18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6"/>
      <c r="K1" s="23"/>
      <c r="L1" s="23"/>
    </row>
    <row r="2" spans="1:12" x14ac:dyDescent="0.25">
      <c r="A2" s="49" t="s">
        <v>87</v>
      </c>
      <c r="B2" s="49"/>
      <c r="C2" s="49"/>
      <c r="D2" s="49"/>
      <c r="E2" s="49"/>
      <c r="F2" s="49"/>
      <c r="G2" s="49"/>
      <c r="H2" s="49"/>
      <c r="I2" s="49"/>
      <c r="J2" s="26"/>
      <c r="K2" s="23"/>
      <c r="L2" s="23"/>
    </row>
    <row r="3" spans="1:12" x14ac:dyDescent="0.25">
      <c r="A3" s="22"/>
      <c r="B3" s="23"/>
      <c r="C3" s="24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5">
      <c r="A4" s="22"/>
      <c r="B4" s="23"/>
      <c r="C4" s="23"/>
      <c r="D4" s="25" t="s">
        <v>30</v>
      </c>
      <c r="E4" s="23"/>
      <c r="F4" s="26" t="s">
        <v>31</v>
      </c>
      <c r="G4" s="26" t="s">
        <v>32</v>
      </c>
      <c r="H4" s="27" t="s">
        <v>30</v>
      </c>
      <c r="I4" s="23"/>
      <c r="J4" s="23"/>
      <c r="K4" s="23"/>
      <c r="L4" s="23"/>
    </row>
    <row r="5" spans="1:12" x14ac:dyDescent="0.25">
      <c r="A5" s="23"/>
      <c r="B5" s="28" t="s">
        <v>86</v>
      </c>
      <c r="C5" s="25" t="s">
        <v>55</v>
      </c>
      <c r="D5" s="24" t="s">
        <v>33</v>
      </c>
      <c r="E5" s="26" t="s">
        <v>34</v>
      </c>
      <c r="F5" s="26" t="s">
        <v>35</v>
      </c>
      <c r="G5" s="26" t="s">
        <v>35</v>
      </c>
      <c r="H5" s="26" t="s">
        <v>33</v>
      </c>
      <c r="I5" s="26" t="s">
        <v>34</v>
      </c>
      <c r="J5" s="23"/>
      <c r="K5" s="23"/>
      <c r="L5" s="23"/>
    </row>
    <row r="6" spans="1:12" x14ac:dyDescent="0.25">
      <c r="A6" s="23"/>
      <c r="B6" s="29" t="s">
        <v>4</v>
      </c>
      <c r="C6" s="29" t="s">
        <v>4</v>
      </c>
      <c r="D6" s="29" t="s">
        <v>4</v>
      </c>
      <c r="E6" s="30" t="s">
        <v>4</v>
      </c>
      <c r="F6" s="30" t="s">
        <v>4</v>
      </c>
      <c r="G6" s="30" t="s">
        <v>4</v>
      </c>
      <c r="H6" s="30" t="s">
        <v>4</v>
      </c>
      <c r="I6" s="30" t="s">
        <v>4</v>
      </c>
      <c r="J6" s="23"/>
      <c r="K6" s="23"/>
      <c r="L6" s="23"/>
    </row>
    <row r="7" spans="1:12" x14ac:dyDescent="0.25">
      <c r="A7" s="14" t="s">
        <v>85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x14ac:dyDescent="0.25">
      <c r="A8" s="14" t="s">
        <v>36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x14ac:dyDescent="0.25">
      <c r="A9" s="1" t="s">
        <v>5</v>
      </c>
      <c r="B9" s="20">
        <v>193848972.97</v>
      </c>
      <c r="C9" s="20">
        <f>[1]FY25!H7</f>
        <v>162452520.00999999</v>
      </c>
      <c r="D9" s="20">
        <f>B9-C9</f>
        <v>31396452.960000008</v>
      </c>
      <c r="E9" s="31">
        <f>D9/C9</f>
        <v>0.19326541046003692</v>
      </c>
      <c r="F9" s="32">
        <f>'[1]REV PED 1'!F9+'[1]REV PED 2'!B9+'[1]REV PED 3'!B9+'[1]REV PED 4'!B9+'[1]REV PED 5'!B9+B9</f>
        <v>970321810</v>
      </c>
      <c r="G9" s="32">
        <f>[1]FY25!C7+[1]FY25!D7+[1]FY25!E7+[1]FY25!F7+[1]FY25!G7+[1]FY25!H7</f>
        <v>820212989.21999991</v>
      </c>
      <c r="H9" s="32">
        <f>F9-G9</f>
        <v>150108820.78000009</v>
      </c>
      <c r="I9" s="31">
        <f>H9/G9</f>
        <v>0.18301200145921789</v>
      </c>
      <c r="J9" s="23"/>
      <c r="K9" s="23"/>
      <c r="L9" s="23"/>
    </row>
    <row r="10" spans="1:12" x14ac:dyDescent="0.25">
      <c r="A10" s="1" t="s">
        <v>6</v>
      </c>
      <c r="B10" s="20">
        <v>237657654.81999999</v>
      </c>
      <c r="C10" s="20">
        <f>[1]FY25!H8</f>
        <v>211109011.02000001</v>
      </c>
      <c r="D10" s="20">
        <f t="shared" ref="D10:D13" si="0">B10-C10</f>
        <v>26548643.799999982</v>
      </c>
      <c r="E10" s="31">
        <f t="shared" ref="E10:E12" si="1">D10/C10</f>
        <v>0.12575798480475484</v>
      </c>
      <c r="F10" s="32">
        <f>'[1]REV PED 1'!F10+'[1]REV PED 2'!B10+'[1]REV PED 3'!B10+'[1]REV PED 4'!B10+'[1]REV PED 5'!B10+B10</f>
        <v>1212950844.1600001</v>
      </c>
      <c r="G10" s="32">
        <f>[1]FY25!C8+[1]FY25!D8+[1]FY25!E8+[1]FY25!F8+[1]FY25!G8+[1]FY25!H8</f>
        <v>1042339165.3199999</v>
      </c>
      <c r="H10" s="32">
        <f t="shared" ref="H10:H13" si="2">F10-G10</f>
        <v>170611678.84000015</v>
      </c>
      <c r="I10" s="31">
        <f t="shared" ref="I10:I13" si="3">H10/G10</f>
        <v>0.16368153909636704</v>
      </c>
      <c r="J10" s="23"/>
      <c r="K10" s="23"/>
      <c r="L10" s="23"/>
    </row>
    <row r="11" spans="1:12" x14ac:dyDescent="0.25">
      <c r="A11" s="1" t="s">
        <v>7</v>
      </c>
      <c r="B11" s="20">
        <v>44946666.350000001</v>
      </c>
      <c r="C11" s="20">
        <f>[1]FY25!H9</f>
        <v>40607487.210000001</v>
      </c>
      <c r="D11" s="20">
        <f t="shared" si="0"/>
        <v>4339179.1400000006</v>
      </c>
      <c r="E11" s="31">
        <f t="shared" si="1"/>
        <v>0.10685662763519714</v>
      </c>
      <c r="F11" s="32">
        <f>'[1]REV PED 1'!F11+'[1]REV PED 2'!B11+'[1]REV PED 3'!B11+'[1]REV PED 4'!B11+'[1]REV PED 5'!B11+B11</f>
        <v>230997205.69000003</v>
      </c>
      <c r="G11" s="32">
        <f>[1]FY25!C9+[1]FY25!D9+[1]FY25!E9+[1]FY25!F9+[1]FY25!G9+[1]FY25!H9</f>
        <v>200314281.62000003</v>
      </c>
      <c r="H11" s="32">
        <f t="shared" si="2"/>
        <v>30682924.069999993</v>
      </c>
      <c r="I11" s="31">
        <f t="shared" si="3"/>
        <v>0.153173921608875</v>
      </c>
      <c r="J11" s="23"/>
      <c r="K11" s="23"/>
      <c r="L11" s="23"/>
    </row>
    <row r="12" spans="1:12" x14ac:dyDescent="0.25">
      <c r="A12" s="1" t="s">
        <v>8</v>
      </c>
      <c r="B12" s="20">
        <v>157285980.53999999</v>
      </c>
      <c r="C12" s="20">
        <f>[1]FY25!H10</f>
        <v>142086139.62</v>
      </c>
      <c r="D12" s="20">
        <f t="shared" si="0"/>
        <v>15199840.919999987</v>
      </c>
      <c r="E12" s="31">
        <f t="shared" si="1"/>
        <v>0.10697623962936116</v>
      </c>
      <c r="F12" s="32">
        <f>'[1]REV PED 1'!F12+'[1]REV PED 2'!B12+'[1]REV PED 3'!B12+'[1]REV PED 4'!B12+'[1]REV PED 5'!B12+B12</f>
        <v>808450889.7299999</v>
      </c>
      <c r="G12" s="32">
        <f>[1]FY25!C10+[1]FY25!D10+[1]FY25!E10+[1]FY25!F10+[1]FY25!G10+[1]FY25!H10</f>
        <v>700927305.66000009</v>
      </c>
      <c r="H12" s="32">
        <f t="shared" si="2"/>
        <v>107523584.06999981</v>
      </c>
      <c r="I12" s="31">
        <f t="shared" si="3"/>
        <v>0.15340190516440866</v>
      </c>
      <c r="J12" s="23"/>
      <c r="K12" s="23"/>
      <c r="L12" s="23"/>
    </row>
    <row r="13" spans="1:12" x14ac:dyDescent="0.25">
      <c r="A13" s="1" t="s">
        <v>9</v>
      </c>
      <c r="B13" s="20">
        <v>126150677.69</v>
      </c>
      <c r="C13" s="20">
        <f>[1]FY25!H11</f>
        <v>115418818.34999999</v>
      </c>
      <c r="D13" s="20">
        <f t="shared" si="0"/>
        <v>10731859.340000004</v>
      </c>
      <c r="E13" s="31">
        <f>D13/C13</f>
        <v>9.2981885392868474E-2</v>
      </c>
      <c r="F13" s="32">
        <f>'[1]REV PED 1'!F13+'[1]REV PED 2'!B13+'[1]REV PED 3'!B13+'[1]REV PED 4'!B13+'[1]REV PED 5'!B13+B13</f>
        <v>631678963.58000004</v>
      </c>
      <c r="G13" s="32">
        <f>[1]FY25!C11+[1]FY25!D11+[1]FY25!E11+[1]FY25!F11+[1]FY25!G11+[1]FY25!H11</f>
        <v>554973803.51000011</v>
      </c>
      <c r="H13" s="32">
        <f t="shared" si="2"/>
        <v>76705160.069999933</v>
      </c>
      <c r="I13" s="31">
        <f t="shared" si="3"/>
        <v>0.1382140194453661</v>
      </c>
      <c r="J13" s="23"/>
      <c r="K13" s="23"/>
      <c r="L13" s="23"/>
    </row>
    <row r="14" spans="1:12" x14ac:dyDescent="0.25">
      <c r="A14" s="23"/>
      <c r="B14" s="29" t="s">
        <v>4</v>
      </c>
      <c r="C14" s="29" t="s">
        <v>4</v>
      </c>
      <c r="D14" s="29" t="s">
        <v>4</v>
      </c>
      <c r="E14" s="30" t="s">
        <v>4</v>
      </c>
      <c r="F14" s="30" t="s">
        <v>4</v>
      </c>
      <c r="G14" s="30" t="s">
        <v>4</v>
      </c>
      <c r="H14" s="30" t="s">
        <v>4</v>
      </c>
      <c r="I14" s="30" t="s">
        <v>4</v>
      </c>
      <c r="J14" s="23"/>
      <c r="K14" s="23"/>
      <c r="L14" s="23"/>
    </row>
    <row r="15" spans="1:12" x14ac:dyDescent="0.25">
      <c r="A15" s="18" t="s">
        <v>10</v>
      </c>
      <c r="B15" s="33">
        <f>SUM(B9:B13)</f>
        <v>759889952.36999989</v>
      </c>
      <c r="C15" s="33">
        <f>SUM(C9:C13)</f>
        <v>671673976.20999992</v>
      </c>
      <c r="D15" s="33">
        <f>SUM(D9:D13)</f>
        <v>88215976.159999982</v>
      </c>
      <c r="E15" s="34">
        <f>D15/C15</f>
        <v>0.13133749301672976</v>
      </c>
      <c r="F15" s="35">
        <f>SUM(F9:F13)</f>
        <v>3854399713.1599998</v>
      </c>
      <c r="G15" s="35">
        <f>SUM(G9:G13)</f>
        <v>3318767545.3300004</v>
      </c>
      <c r="H15" s="35">
        <f>SUM(H9:H13)</f>
        <v>535632167.82999998</v>
      </c>
      <c r="I15" s="34">
        <f>H15/G15</f>
        <v>0.16139490353390798</v>
      </c>
      <c r="J15" s="18"/>
      <c r="K15" s="23"/>
      <c r="L15" s="23"/>
    </row>
    <row r="16" spans="1:12" x14ac:dyDescent="0.25">
      <c r="A16" s="23"/>
      <c r="B16" s="20"/>
      <c r="C16" s="20"/>
      <c r="D16" s="23"/>
      <c r="E16" s="31"/>
      <c r="F16" s="23"/>
      <c r="G16" s="23"/>
      <c r="H16" s="23"/>
      <c r="I16" s="23"/>
      <c r="J16" s="23"/>
      <c r="K16" s="23"/>
      <c r="L16" s="23"/>
    </row>
    <row r="17" spans="1:15" x14ac:dyDescent="0.25">
      <c r="A17" s="1" t="s">
        <v>11</v>
      </c>
      <c r="B17" s="20">
        <f>0+52156.28</f>
        <v>52156.28</v>
      </c>
      <c r="C17" s="20">
        <f>[1]FY25!H15</f>
        <v>37691.65</v>
      </c>
      <c r="D17" s="20">
        <f>B17-C17</f>
        <v>14464.629999999997</v>
      </c>
      <c r="E17" s="31">
        <f t="shared" ref="E17:E18" si="4">IF(C17=0,0,D17/C17)</f>
        <v>0.38376218605447088</v>
      </c>
      <c r="F17" s="32">
        <f>'[1]REV PED 3'!F17+B17</f>
        <v>65761.53</v>
      </c>
      <c r="G17" s="32">
        <f>[1]FY25!C15+[1]FY25!D15+[1]FY25!E15+[1]FY25!F15+[1]FY25!G15+[1]FY25!H15</f>
        <v>145751.43</v>
      </c>
      <c r="H17" s="32">
        <f>F17-G17</f>
        <v>-79989.899999999994</v>
      </c>
      <c r="I17" s="31">
        <f>H17/G17</f>
        <v>-0.54881039589114156</v>
      </c>
      <c r="J17" s="23"/>
      <c r="K17" s="23"/>
      <c r="L17" s="23"/>
      <c r="O17" s="41"/>
    </row>
    <row r="18" spans="1:15" x14ac:dyDescent="0.25">
      <c r="A18" s="18" t="s">
        <v>12</v>
      </c>
      <c r="B18" s="20">
        <f>3072784.79-419.95+187848172.84</f>
        <v>190920537.68000001</v>
      </c>
      <c r="C18" s="20">
        <f>[1]FY25!H16</f>
        <v>187295033.43000001</v>
      </c>
      <c r="D18" s="20">
        <f>B18-C18</f>
        <v>3625504.25</v>
      </c>
      <c r="E18" s="31">
        <f t="shared" si="4"/>
        <v>1.9357183068898637E-2</v>
      </c>
      <c r="F18" s="32">
        <f>'[1]REV PED 3'!F18+B18</f>
        <v>356748501.92000002</v>
      </c>
      <c r="G18" s="32">
        <f>[1]FY25!C16+[1]FY25!D16+[1]FY25!E16+[1]FY25!F16+[1]FY25!G16+[1]FY25!H16</f>
        <v>356175752.69999999</v>
      </c>
      <c r="H18" s="32">
        <f>F18-G18</f>
        <v>572749.22000002861</v>
      </c>
      <c r="I18" s="31">
        <f>H18/G18</f>
        <v>1.6080522485269913E-3</v>
      </c>
      <c r="J18" s="23"/>
      <c r="K18" s="23"/>
      <c r="L18" s="23"/>
      <c r="O18" s="41"/>
    </row>
    <row r="19" spans="1:15" x14ac:dyDescent="0.25">
      <c r="A19" s="23"/>
      <c r="B19" s="29" t="s">
        <v>4</v>
      </c>
      <c r="C19" s="29" t="s">
        <v>4</v>
      </c>
      <c r="D19" s="29" t="s">
        <v>4</v>
      </c>
      <c r="E19" s="30" t="s">
        <v>4</v>
      </c>
      <c r="F19" s="30" t="s">
        <v>4</v>
      </c>
      <c r="G19" s="30" t="s">
        <v>4</v>
      </c>
      <c r="H19" s="30" t="s">
        <v>4</v>
      </c>
      <c r="I19" s="30" t="s">
        <v>4</v>
      </c>
      <c r="J19" s="23"/>
      <c r="K19" s="23"/>
      <c r="L19" s="23"/>
    </row>
    <row r="20" spans="1:15" x14ac:dyDescent="0.25">
      <c r="A20" s="18" t="s">
        <v>13</v>
      </c>
      <c r="B20" s="20">
        <f>SUM(B15:B18)</f>
        <v>950862646.32999992</v>
      </c>
      <c r="C20" s="20">
        <f t="shared" ref="C20:H20" si="5">SUM(C15:C18)</f>
        <v>859006701.28999996</v>
      </c>
      <c r="D20" s="20">
        <f t="shared" si="5"/>
        <v>91855945.039999977</v>
      </c>
      <c r="E20" s="31">
        <f>D20/C20</f>
        <v>0.10693274557934966</v>
      </c>
      <c r="F20" s="20">
        <f t="shared" si="5"/>
        <v>4211213976.6100001</v>
      </c>
      <c r="G20" s="20">
        <f t="shared" si="5"/>
        <v>3675089049.46</v>
      </c>
      <c r="H20" s="20">
        <f t="shared" si="5"/>
        <v>536124927.15000004</v>
      </c>
      <c r="I20" s="31">
        <f>H20/G20</f>
        <v>0.14588079905948828</v>
      </c>
      <c r="J20" s="23"/>
      <c r="K20" s="23"/>
      <c r="L20" s="23"/>
    </row>
    <row r="21" spans="1:15" x14ac:dyDescent="0.25">
      <c r="A21" s="18"/>
      <c r="B21" s="20"/>
      <c r="C21" s="20"/>
      <c r="D21" s="20"/>
      <c r="E21" s="31"/>
      <c r="F21" s="32"/>
      <c r="G21" s="32"/>
      <c r="H21" s="32"/>
      <c r="I21" s="31"/>
      <c r="J21" s="23"/>
      <c r="K21" s="23"/>
      <c r="L21" s="23"/>
    </row>
    <row r="22" spans="1:15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5" x14ac:dyDescent="0.25">
      <c r="A23" s="14" t="s">
        <v>84</v>
      </c>
      <c r="B23" s="20"/>
      <c r="C23" s="20"/>
      <c r="D23" s="20"/>
      <c r="E23" s="31"/>
      <c r="F23" s="32"/>
      <c r="G23" s="32"/>
      <c r="H23" s="32"/>
      <c r="I23" s="31"/>
      <c r="J23" s="23"/>
      <c r="K23" s="23"/>
      <c r="L23" s="23"/>
    </row>
    <row r="24" spans="1:15" x14ac:dyDescent="0.25">
      <c r="A24" s="36" t="s">
        <v>37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5" x14ac:dyDescent="0.25">
      <c r="A25" s="18" t="s">
        <v>16</v>
      </c>
      <c r="B25" s="20">
        <f>525274.38+34727.58+8929664.42</f>
        <v>9489666.379999999</v>
      </c>
      <c r="C25" s="20">
        <f>[1]FY25!H22</f>
        <v>13583406.380000001</v>
      </c>
      <c r="D25" s="20">
        <f>B25-C25</f>
        <v>-4093740.0000000019</v>
      </c>
      <c r="E25" s="31">
        <f>D25/C25</f>
        <v>-0.30137801119073943</v>
      </c>
      <c r="F25" s="32">
        <f>'[1]REV PED 1'!B25+'[1]REV PED 2'!B25+'[1]REV PED 3'!B25+'[1]REV PED 4'!B25+'[1]REV PED 5'!B25+B25</f>
        <v>46190607.760000005</v>
      </c>
      <c r="G25" s="32">
        <f>[1]FY25!C22+[1]FY25!D22+[1]FY25!E22+[1]FY25!F22+[1]FY25!G22+[1]FY25!H22</f>
        <v>61272834.080000006</v>
      </c>
      <c r="H25" s="32">
        <f>F25-G25</f>
        <v>-15082226.32</v>
      </c>
      <c r="I25" s="31">
        <f>H25/G25</f>
        <v>-0.24614866517040987</v>
      </c>
      <c r="J25" s="23"/>
      <c r="K25" s="23"/>
      <c r="L25" s="23"/>
    </row>
    <row r="26" spans="1:15" x14ac:dyDescent="0.25">
      <c r="A26" s="18" t="s">
        <v>17</v>
      </c>
      <c r="B26" s="20">
        <v>6017616.9699999997</v>
      </c>
      <c r="C26" s="20">
        <f>[1]FY25!H23</f>
        <v>2412406.7599999998</v>
      </c>
      <c r="D26" s="20">
        <f t="shared" ref="D26:D34" si="6">B26-C26</f>
        <v>3605210.21</v>
      </c>
      <c r="E26" s="31">
        <f t="shared" ref="E26:E31" si="7">D26/C26</f>
        <v>1.4944454101927656</v>
      </c>
      <c r="F26" s="32">
        <f>'[1]REV PED 1'!B26+'[1]REV PED 2'!B26+'[1]REV PED 3'!B26+'[1]REV PED 4'!B26+'[1]REV PED 5'!B26+B26</f>
        <v>21077666.449999999</v>
      </c>
      <c r="G26" s="32">
        <f>[1]FY25!C23+[1]FY25!D23+[1]FY25!E23+[1]FY25!F23+[1]FY25!G23+[1]FY25!H23</f>
        <v>13065974.1</v>
      </c>
      <c r="H26" s="32">
        <f t="shared" ref="H26:H34" si="8">F26-G26</f>
        <v>8011692.3499999996</v>
      </c>
      <c r="I26" s="31">
        <f t="shared" ref="I26:I31" si="9">H26/G26</f>
        <v>0.61317222035515895</v>
      </c>
      <c r="J26" s="23"/>
      <c r="K26" s="23"/>
      <c r="L26" s="23"/>
    </row>
    <row r="27" spans="1:15" x14ac:dyDescent="0.25">
      <c r="A27" s="18" t="s">
        <v>18</v>
      </c>
      <c r="B27" s="20">
        <f>330008.01+99045.96+3794024.7</f>
        <v>4223078.67</v>
      </c>
      <c r="C27" s="20">
        <f>[1]FY25!H24</f>
        <v>4061089.5</v>
      </c>
      <c r="D27" s="20">
        <f t="shared" si="6"/>
        <v>161989.16999999993</v>
      </c>
      <c r="E27" s="31">
        <f t="shared" si="7"/>
        <v>3.98881063813048E-2</v>
      </c>
      <c r="F27" s="32">
        <f>'[1]REV PED 1'!B27+'[1]REV PED 2'!B27+'[1]REV PED 3'!B27+'[1]REV PED 4'!B27+'[1]REV PED 5'!B27+B27</f>
        <v>27497783.359999999</v>
      </c>
      <c r="G27" s="32">
        <f>[1]FY25!C24+[1]FY25!D24+[1]FY25!E24+[1]FY25!F24+[1]FY25!G24+[1]FY25!H24</f>
        <v>16937472.43</v>
      </c>
      <c r="H27" s="32">
        <f t="shared" si="8"/>
        <v>10560310.93</v>
      </c>
      <c r="I27" s="31">
        <f t="shared" si="9"/>
        <v>0.62348800705915008</v>
      </c>
      <c r="J27" s="23"/>
      <c r="K27" s="23"/>
      <c r="L27" s="23"/>
    </row>
    <row r="28" spans="1:15" x14ac:dyDescent="0.25">
      <c r="A28" s="18" t="s">
        <v>19</v>
      </c>
      <c r="B28" s="20">
        <v>171113663.05000001</v>
      </c>
      <c r="C28" s="20">
        <f>[1]FY25!H25</f>
        <v>165315530.86999997</v>
      </c>
      <c r="D28" s="20">
        <f t="shared" si="6"/>
        <v>5798132.180000037</v>
      </c>
      <c r="E28" s="31">
        <f t="shared" ref="E28:E34" si="10">IF(C28=0,0,D28/C28)</f>
        <v>3.5073124403293625E-2</v>
      </c>
      <c r="F28" s="32">
        <f>'[1]REV PED 1'!B28+'[1]REV PED 2'!B28+'[1]REV PED 3'!B28+'[1]REV PED 4'!B28+'[1]REV PED 5'!B28+B28</f>
        <v>330025136.37</v>
      </c>
      <c r="G28" s="32">
        <f>[1]FY25!C25+[1]FY25!D25+[1]FY25!E25+[1]FY25!F25+[1]FY25!G25+[1]FY25!H25</f>
        <v>308831953.99000001</v>
      </c>
      <c r="H28" s="32">
        <f t="shared" si="8"/>
        <v>21193182.379999995</v>
      </c>
      <c r="I28" s="31">
        <f>H28/G28</f>
        <v>6.862367091938365E-2</v>
      </c>
      <c r="J28" s="23"/>
      <c r="K28" s="23"/>
      <c r="L28" s="23"/>
    </row>
    <row r="29" spans="1:15" x14ac:dyDescent="0.25">
      <c r="A29" s="18" t="s">
        <v>20</v>
      </c>
      <c r="B29" s="20">
        <v>171435.49</v>
      </c>
      <c r="C29" s="20">
        <f>[1]FY25!H26</f>
        <v>276496.3</v>
      </c>
      <c r="D29" s="20">
        <f t="shared" si="6"/>
        <v>-105060.81</v>
      </c>
      <c r="E29" s="31">
        <f t="shared" si="7"/>
        <v>-0.37997184772454462</v>
      </c>
      <c r="F29" s="32">
        <f>'[1]REV PED 1'!B29+'[1]REV PED 2'!B29+'[1]REV PED 3'!B29+'[1]REV PED 4'!B29+'[1]REV PED 5'!B29+B29</f>
        <v>1158131.73</v>
      </c>
      <c r="G29" s="32">
        <f>[1]FY25!C26+[1]FY25!D26+[1]FY25!E26+[1]FY25!F26+[1]FY25!G26+[1]FY25!H26</f>
        <v>1191880.08</v>
      </c>
      <c r="H29" s="32">
        <f t="shared" si="8"/>
        <v>-33748.350000000093</v>
      </c>
      <c r="I29" s="31">
        <f t="shared" si="9"/>
        <v>-2.8315222786507256E-2</v>
      </c>
      <c r="J29" s="23"/>
      <c r="K29" s="23"/>
      <c r="L29" s="23"/>
    </row>
    <row r="30" spans="1:15" x14ac:dyDescent="0.25">
      <c r="A30" s="18" t="s">
        <v>38</v>
      </c>
      <c r="B30" s="20">
        <f>9276013.52-48.9+8554752.97+2307.31+2026674.74+1596188.49+356.26+318595.02</f>
        <v>21774839.409999996</v>
      </c>
      <c r="C30" s="20">
        <f>[1]FY25!H27</f>
        <v>16493141.32</v>
      </c>
      <c r="D30" s="20">
        <f t="shared" si="6"/>
        <v>5281698.0899999961</v>
      </c>
      <c r="E30" s="31">
        <f t="shared" si="10"/>
        <v>0.32023602948185953</v>
      </c>
      <c r="F30" s="32">
        <f>'[1]REV PED 1'!B30+'[1]REV PED 2'!B30+'[1]REV PED 3'!B30+'[1]REV PED 4'!B30+'[1]REV PED 5'!B30+B30</f>
        <v>38748733.170000002</v>
      </c>
      <c r="G30" s="32">
        <f>[1]FY25!C27+[1]FY25!D27+[1]FY25!E27+[1]FY25!F27+[1]FY25!G27+[1]FY25!H27</f>
        <v>40492621.490000002</v>
      </c>
      <c r="H30" s="32">
        <f t="shared" si="8"/>
        <v>-1743888.3200000003</v>
      </c>
      <c r="I30" s="31">
        <f>H30/G30</f>
        <v>-4.3066817010863775E-2</v>
      </c>
      <c r="J30" s="23"/>
      <c r="K30" s="23"/>
      <c r="L30" s="23"/>
    </row>
    <row r="31" spans="1:15" x14ac:dyDescent="0.25">
      <c r="A31" s="18" t="s">
        <v>22</v>
      </c>
      <c r="B31" s="20">
        <v>6526456.25</v>
      </c>
      <c r="C31" s="20">
        <f>[1]FY25!H28</f>
        <v>18869974.280000001</v>
      </c>
      <c r="D31" s="20">
        <f t="shared" si="6"/>
        <v>-12343518.030000001</v>
      </c>
      <c r="E31" s="31">
        <f t="shared" si="7"/>
        <v>-0.65413539238803886</v>
      </c>
      <c r="F31" s="32">
        <f>'[1]REV PED 1'!B31+'[1]REV PED 2'!B31+'[1]REV PED 3'!B31+'[1]REV PED 4'!B31+'[1]REV PED 5'!B31+B31</f>
        <v>62452116.439999998</v>
      </c>
      <c r="G31" s="32">
        <f>[1]FY25!C28+[1]FY25!D28+[1]FY25!E28+[1]FY25!F28+[1]FY25!G28+[1]FY25!H28</f>
        <v>43858799.5</v>
      </c>
      <c r="H31" s="32">
        <f t="shared" si="8"/>
        <v>18593316.939999998</v>
      </c>
      <c r="I31" s="31">
        <f t="shared" si="9"/>
        <v>0.42393583846270116</v>
      </c>
      <c r="J31" s="23"/>
      <c r="K31" s="23"/>
      <c r="L31" s="23"/>
    </row>
    <row r="32" spans="1:15" x14ac:dyDescent="0.25">
      <c r="A32" s="18" t="s">
        <v>23</v>
      </c>
      <c r="B32" s="20">
        <v>464248.75</v>
      </c>
      <c r="C32" s="20">
        <f>[1]FY25!H29</f>
        <v>530250</v>
      </c>
      <c r="D32" s="20">
        <f t="shared" si="6"/>
        <v>-66001.25</v>
      </c>
      <c r="E32" s="31">
        <f t="shared" si="10"/>
        <v>-0.12447194719471948</v>
      </c>
      <c r="F32" s="32">
        <f>'[1]REV PED 1'!B32+'[1]REV PED 2'!B32+'[1]REV PED 3'!B32+'[1]REV PED 4'!B32+'[1]REV PED 5'!B32+B32</f>
        <v>761748.75</v>
      </c>
      <c r="G32" s="32">
        <f>[1]FY25!C29+[1]FY25!D29+[1]FY25!E29+[1]FY25!F29+[1]FY25!G29+[1]FY25!H29</f>
        <v>934255</v>
      </c>
      <c r="H32" s="32">
        <f t="shared" si="8"/>
        <v>-172506.25</v>
      </c>
      <c r="I32" s="31">
        <f>H32/G32</f>
        <v>-0.18464578728505601</v>
      </c>
      <c r="J32" s="23"/>
      <c r="K32" s="23"/>
      <c r="L32" s="23"/>
    </row>
    <row r="33" spans="1:12" x14ac:dyDescent="0.25">
      <c r="A33" s="18" t="s">
        <v>49</v>
      </c>
      <c r="B33" s="20">
        <v>119356907.73999999</v>
      </c>
      <c r="C33" s="20">
        <f>[1]FY25!H30</f>
        <v>71535821.079999998</v>
      </c>
      <c r="D33" s="20">
        <f t="shared" si="6"/>
        <v>47821086.659999996</v>
      </c>
      <c r="E33" s="31">
        <f t="shared" si="10"/>
        <v>0.66849147655019825</v>
      </c>
      <c r="F33" s="32">
        <f>'[1]REV PED 1'!B33+'[1]REV PED 2'!B33+'[1]REV PED 3'!B33+'[1]REV PED 4'!B33+'[1]REV PED 5'!B33+B33</f>
        <v>119356907.73999999</v>
      </c>
      <c r="G33" s="32">
        <f>[1]FY25!C30+[1]FY25!D30+[1]FY25!E30+[1]FY25!F30+[1]FY25!G30+[1]FY25!H30</f>
        <v>71511543.319999993</v>
      </c>
      <c r="H33" s="32">
        <f t="shared" si="8"/>
        <v>47845364.420000002</v>
      </c>
      <c r="I33" s="31">
        <f>H33/G33</f>
        <v>0.6690579198647898</v>
      </c>
      <c r="J33" s="23"/>
      <c r="K33" s="23"/>
      <c r="L33" s="23"/>
    </row>
    <row r="34" spans="1:12" x14ac:dyDescent="0.25">
      <c r="A34" s="18" t="s">
        <v>24</v>
      </c>
      <c r="B34" s="20">
        <v>30141781.969999999</v>
      </c>
      <c r="C34" s="20">
        <f>[1]FY25!H31</f>
        <v>33317234.969999999</v>
      </c>
      <c r="D34" s="20">
        <f t="shared" si="6"/>
        <v>-3175453</v>
      </c>
      <c r="E34" s="31">
        <f t="shared" si="10"/>
        <v>-9.5309619866693285E-2</v>
      </c>
      <c r="F34" s="32">
        <f>'[1]REV PED 1'!B34+'[1]REV PED 2'!B34+'[1]REV PED 3'!B34+'[1]REV PED 4'!B34+'[1]REV PED 5'!B34+B34</f>
        <v>60732643.849999994</v>
      </c>
      <c r="G34" s="32">
        <f>[1]FY25!C31+[1]FY25!D31+[1]FY25!E31+[1]FY25!F31+[1]FY25!G31+[1]FY25!H31</f>
        <v>63879183.18</v>
      </c>
      <c r="H34" s="32">
        <f t="shared" si="8"/>
        <v>-3146539.3300000057</v>
      </c>
      <c r="I34" s="31">
        <f>H34/G34</f>
        <v>-4.9257663817234891E-2</v>
      </c>
      <c r="J34" s="23"/>
      <c r="K34" s="23"/>
      <c r="L34" s="23"/>
    </row>
    <row r="35" spans="1:12" x14ac:dyDescent="0.25">
      <c r="A35" s="18" t="s">
        <v>25</v>
      </c>
      <c r="B35" s="21" t="s">
        <v>66</v>
      </c>
      <c r="C35" s="21" t="s">
        <v>66</v>
      </c>
      <c r="D35" s="21" t="s">
        <v>43</v>
      </c>
      <c r="E35" s="21" t="s">
        <v>42</v>
      </c>
      <c r="F35" s="21" t="s">
        <v>41</v>
      </c>
      <c r="G35" s="37" t="s">
        <v>67</v>
      </c>
      <c r="H35" s="21" t="s">
        <v>40</v>
      </c>
      <c r="I35" s="21" t="s">
        <v>39</v>
      </c>
      <c r="J35" s="23"/>
      <c r="K35" s="23"/>
      <c r="L35" s="23"/>
    </row>
    <row r="36" spans="1:12" x14ac:dyDescent="0.25">
      <c r="A36" s="18" t="s">
        <v>26</v>
      </c>
      <c r="B36" s="20">
        <f>2104983.55+118638.96+268208.88</f>
        <v>2491831.3899999997</v>
      </c>
      <c r="C36" s="20">
        <f>[1]FY25!H33</f>
        <v>6120944.6399999997</v>
      </c>
      <c r="D36" s="20">
        <f>B36-C36</f>
        <v>-3629113.25</v>
      </c>
      <c r="E36" s="31">
        <f>D36/C36</f>
        <v>-0.5929008451218406</v>
      </c>
      <c r="F36" s="32">
        <f>'[1]REV PED 1'!B36+'[1]REV PED 2'!B36+'[1]REV PED 3'!B36+'[1]REV PED 4'!B36+'[1]REV PED 5'!B36+B36</f>
        <v>14827142.739999998</v>
      </c>
      <c r="G36" s="32">
        <f>[1]FY25!C33+[1]FY25!D33+[1]FY25!E33+[1]FY25!F33+[1]FY25!G33+[1]FY25!H33</f>
        <v>17298070.309999999</v>
      </c>
      <c r="H36" s="32">
        <f>F36-G36</f>
        <v>-2470927.5700000003</v>
      </c>
      <c r="I36" s="31">
        <f>H36/G36</f>
        <v>-0.14284411646607537</v>
      </c>
      <c r="J36" s="23"/>
      <c r="K36" s="23"/>
      <c r="L36" s="23"/>
    </row>
    <row r="37" spans="1:12" x14ac:dyDescent="0.25">
      <c r="A37" s="18" t="s">
        <v>27</v>
      </c>
      <c r="B37" s="20">
        <f>16477640.89+167972.9+1632520.44</f>
        <v>18278134.23</v>
      </c>
      <c r="C37" s="20">
        <f>[1]FY25!H34</f>
        <v>20089217.760000002</v>
      </c>
      <c r="D37" s="20">
        <f>B37-C37</f>
        <v>-1811083.5300000012</v>
      </c>
      <c r="E37" s="31">
        <f>D37/C37</f>
        <v>-9.0152018442753001E-2</v>
      </c>
      <c r="F37" s="32">
        <f>'[1]REV PED 1'!B37+'[1]REV PED 2'!B37+'[1]REV PED 3'!B37+'[1]REV PED 4'!B37+'[1]REV PED 5'!B37+B37</f>
        <v>105096393.71999998</v>
      </c>
      <c r="G37" s="32">
        <f>[1]FY25!C34+[1]FY25!D34+[1]FY25!E34+[1]FY25!F34+[1]FY25!G34+[1]FY25!H34</f>
        <v>99720251.270000011</v>
      </c>
      <c r="H37" s="32">
        <f>F37-G37</f>
        <v>5376142.4499999732</v>
      </c>
      <c r="I37" s="31">
        <f>H37/G37</f>
        <v>5.3912243315990718E-2</v>
      </c>
      <c r="J37" s="23"/>
      <c r="K37" s="23"/>
      <c r="L37" s="23"/>
    </row>
    <row r="38" spans="1:12" x14ac:dyDescent="0.25">
      <c r="A38" s="18" t="s">
        <v>44</v>
      </c>
      <c r="B38" s="20">
        <v>3636349.17</v>
      </c>
      <c r="C38" s="20">
        <f>[1]FY25!H35</f>
        <v>7615502.9400000004</v>
      </c>
      <c r="D38" s="20">
        <f>B38-C38</f>
        <v>-3979153.7700000005</v>
      </c>
      <c r="E38" s="31">
        <f>D38/C38</f>
        <v>-0.52250702302269747</v>
      </c>
      <c r="F38" s="32">
        <f>'[1]REV PED 1'!B38+'[1]REV PED 2'!B38+'[1]REV PED 3'!B38+'[1]REV PED 4'!B38+'[1]REV PED 5'!B38+B38</f>
        <v>22337716.130000003</v>
      </c>
      <c r="G38" s="32">
        <f>[1]FY25!C35+[1]FY25!D35+[1]FY25!E35+[1]FY25!F35+[1]FY25!G35+[1]FY25!H35</f>
        <v>21963628.23</v>
      </c>
      <c r="H38" s="32">
        <f>F38-G38</f>
        <v>374087.90000000224</v>
      </c>
      <c r="I38" s="31">
        <f>H38/G38</f>
        <v>1.7032154072296562E-2</v>
      </c>
      <c r="J38" s="23"/>
      <c r="K38" s="23"/>
      <c r="L38" s="23"/>
    </row>
    <row r="39" spans="1:12" x14ac:dyDescent="0.25">
      <c r="A39" s="18" t="s">
        <v>45</v>
      </c>
      <c r="B39" s="20">
        <v>3053542.94</v>
      </c>
      <c r="C39" s="20">
        <f>[1]FY25!H36</f>
        <v>1559160.5</v>
      </c>
      <c r="D39" s="20">
        <f>B39-C39</f>
        <v>1494382.44</v>
      </c>
      <c r="E39" s="31">
        <f>D39/C39</f>
        <v>0.95845324455051284</v>
      </c>
      <c r="F39" s="32">
        <f>'[1]REV PED 1'!B39+'[1]REV PED 2'!B39+'[1]REV PED 3'!B39+'[1]REV PED 4'!B39+'[1]REV PED 5'!B39+B39</f>
        <v>102464892.69</v>
      </c>
      <c r="G39" s="32">
        <f>[1]FY25!C36+[1]FY25!D36+[1]FY25!E36+[1]FY25!F36+[1]FY25!G36+[1]FY25!H36</f>
        <v>19690821.27</v>
      </c>
      <c r="H39" s="32">
        <f>F39-G39</f>
        <v>82774071.420000002</v>
      </c>
      <c r="I39" s="31">
        <f>H39/G39</f>
        <v>4.2036881186926749</v>
      </c>
      <c r="J39" s="23"/>
      <c r="K39" s="23"/>
      <c r="L39" s="23"/>
    </row>
    <row r="40" spans="1:12" x14ac:dyDescent="0.25">
      <c r="A40" s="18" t="s">
        <v>46</v>
      </c>
      <c r="B40" s="20">
        <f>4313239.2</f>
        <v>4313239.2</v>
      </c>
      <c r="C40" s="20">
        <f>[1]FY25!H37</f>
        <v>6001103.3799999999</v>
      </c>
      <c r="D40" s="20">
        <f t="shared" ref="D40:D41" si="11">B40-C40</f>
        <v>-1687864.1799999997</v>
      </c>
      <c r="E40" s="31">
        <f t="shared" ref="E40:E41" si="12">D40/C40</f>
        <v>-0.28125897407886341</v>
      </c>
      <c r="F40" s="32">
        <f>'[1]REV PED 1'!B40+'[1]REV PED 2'!B40+'[1]REV PED 3'!B40+'[1]REV PED 4'!B40+'[1]REV PED 5'!B40+B40</f>
        <v>33807240.020000003</v>
      </c>
      <c r="G40" s="32">
        <f>[1]FY25!C37+[1]FY25!D37+[1]FY25!E37+[1]FY25!F37+[1]FY25!G37+[1]FY25!H37</f>
        <v>36564374.730000004</v>
      </c>
      <c r="H40" s="32">
        <f t="shared" ref="H40:H41" si="13">F40-G40</f>
        <v>-2757134.7100000009</v>
      </c>
      <c r="I40" s="31">
        <f t="shared" ref="I40:I41" si="14">H40/G40</f>
        <v>-7.5404946217714264E-2</v>
      </c>
      <c r="J40" s="23"/>
      <c r="K40" s="23"/>
      <c r="L40" s="23"/>
    </row>
    <row r="41" spans="1:12" x14ac:dyDescent="0.25">
      <c r="A41" s="18" t="s">
        <v>47</v>
      </c>
      <c r="B41" s="20">
        <f>2278854.39</f>
        <v>2278854.39</v>
      </c>
      <c r="C41" s="20">
        <f>[1]FY25!H38</f>
        <v>3034052.85</v>
      </c>
      <c r="D41" s="20">
        <f t="shared" si="11"/>
        <v>-755198.46</v>
      </c>
      <c r="E41" s="31">
        <f t="shared" si="12"/>
        <v>-0.24890748359904144</v>
      </c>
      <c r="F41" s="32">
        <f>'[1]REV PED 1'!B41+'[1]REV PED 2'!B41+'[1]REV PED 3'!B41+'[1]REV PED 4'!B41+'[1]REV PED 5'!B41+'[1]REV PED 6'!B41</f>
        <v>16814401</v>
      </c>
      <c r="G41" s="32">
        <f>[1]FY25!C38+[1]FY25!D38+[1]FY25!E38+[1]FY25!F38+[1]FY25!G38+[1]FY25!H38</f>
        <v>17171457.68</v>
      </c>
      <c r="H41" s="32">
        <f t="shared" si="13"/>
        <v>-357056.6799999997</v>
      </c>
      <c r="I41" s="31">
        <f t="shared" si="14"/>
        <v>-2.0793615000773754E-2</v>
      </c>
      <c r="J41" s="23"/>
      <c r="K41" s="23"/>
      <c r="L41" s="23"/>
    </row>
    <row r="42" spans="1:12" x14ac:dyDescent="0.25">
      <c r="A42" s="23"/>
      <c r="B42" s="20"/>
      <c r="C42" s="23"/>
      <c r="D42" s="20"/>
      <c r="E42" s="31"/>
      <c r="F42" s="32"/>
      <c r="G42" s="32"/>
      <c r="H42" s="32"/>
      <c r="I42" s="31"/>
      <c r="J42" s="23"/>
      <c r="K42" s="23"/>
      <c r="L42" s="23"/>
    </row>
    <row r="43" spans="1:12" x14ac:dyDescent="0.25">
      <c r="A43" s="18" t="s">
        <v>28</v>
      </c>
      <c r="B43" s="29" t="s">
        <v>4</v>
      </c>
      <c r="C43" s="29" t="s">
        <v>4</v>
      </c>
      <c r="D43" s="29" t="s">
        <v>4</v>
      </c>
      <c r="E43" s="30" t="s">
        <v>4</v>
      </c>
      <c r="F43" s="30" t="s">
        <v>4</v>
      </c>
      <c r="G43" s="30" t="s">
        <v>4</v>
      </c>
      <c r="H43" s="30" t="s">
        <v>4</v>
      </c>
      <c r="I43" s="30" t="s">
        <v>4</v>
      </c>
      <c r="J43" s="23"/>
      <c r="K43" s="23"/>
      <c r="L43" s="23"/>
    </row>
    <row r="44" spans="1:12" x14ac:dyDescent="0.25">
      <c r="A44" s="23"/>
      <c r="B44" s="20">
        <f>SUM(B25:B41)</f>
        <v>403331645.99999994</v>
      </c>
      <c r="C44" s="20">
        <f t="shared" ref="C44:H44" si="15">SUM(C25:C41)</f>
        <v>370815333.53000003</v>
      </c>
      <c r="D44" s="20">
        <f t="shared" si="15"/>
        <v>32516312.470000029</v>
      </c>
      <c r="E44" s="31">
        <f>D44/C44</f>
        <v>8.7688694424955235E-2</v>
      </c>
      <c r="F44" s="20">
        <f t="shared" si="15"/>
        <v>1003349261.9200001</v>
      </c>
      <c r="G44" s="20">
        <f t="shared" si="15"/>
        <v>834385120.65999985</v>
      </c>
      <c r="H44" s="20">
        <f t="shared" si="15"/>
        <v>168964141.25999996</v>
      </c>
      <c r="I44" s="31">
        <f>H44/G44</f>
        <v>0.20250138344551144</v>
      </c>
      <c r="J44" s="23"/>
      <c r="K44" s="23"/>
      <c r="L44" s="23"/>
    </row>
    <row r="45" spans="1:12" x14ac:dyDescent="0.25">
      <c r="A45" s="39" t="s">
        <v>29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8" spans="1:12" x14ac:dyDescent="0.25">
      <c r="A48" s="23"/>
      <c r="B48" s="20"/>
      <c r="C48" s="20"/>
      <c r="D48" s="20"/>
      <c r="E48" s="23"/>
      <c r="F48" s="32"/>
      <c r="G48" s="32"/>
      <c r="H48" s="32"/>
      <c r="I48" s="23"/>
      <c r="J48" s="23"/>
      <c r="K48" s="23"/>
      <c r="L48" s="23"/>
    </row>
    <row r="49" spans="1:12" x14ac:dyDescent="0.25">
      <c r="A49" s="23"/>
      <c r="B49" s="23"/>
      <c r="C49" s="20"/>
      <c r="D49" s="23"/>
      <c r="E49" s="23"/>
      <c r="F49" s="23"/>
      <c r="G49" s="23"/>
      <c r="H49" s="23"/>
      <c r="I49" s="23"/>
      <c r="J49" s="23"/>
      <c r="K49" s="23"/>
      <c r="L49" s="23"/>
    </row>
    <row r="53" spans="1:12" x14ac:dyDescent="0.25">
      <c r="B53" s="20"/>
      <c r="C53" s="20"/>
      <c r="D53" s="20"/>
      <c r="E53" s="23"/>
      <c r="F53" s="32"/>
      <c r="G53" s="32"/>
      <c r="H53" s="32"/>
      <c r="I53" s="23"/>
      <c r="J53" s="23"/>
      <c r="K53" s="23"/>
      <c r="L53" s="23"/>
    </row>
  </sheetData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72ED9-374B-4672-91F2-DD49E84AE3AD}">
  <dimension ref="A1:L53"/>
  <sheetViews>
    <sheetView zoomScale="85" zoomScaleNormal="85" workbookViewId="0">
      <selection sqref="A1:I1"/>
    </sheetView>
  </sheetViews>
  <sheetFormatPr defaultRowHeight="15" x14ac:dyDescent="0.25"/>
  <cols>
    <col min="1" max="1" width="72.5703125" bestFit="1" customWidth="1"/>
    <col min="2" max="3" width="17.42578125" bestFit="1" customWidth="1"/>
    <col min="4" max="4" width="14.42578125" customWidth="1"/>
    <col min="5" max="5" width="11.28515625" customWidth="1"/>
    <col min="6" max="6" width="15.85546875" customWidth="1"/>
    <col min="7" max="7" width="15.7109375" customWidth="1"/>
    <col min="8" max="8" width="15" bestFit="1" customWidth="1"/>
    <col min="9" max="9" width="10.7109375" bestFit="1" customWidth="1"/>
    <col min="14" max="14" width="15.5703125" bestFit="1" customWidth="1"/>
  </cols>
  <sheetData>
    <row r="1" spans="1:12" ht="18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6"/>
      <c r="K1" s="23"/>
      <c r="L1" s="23"/>
    </row>
    <row r="2" spans="1:12" x14ac:dyDescent="0.25">
      <c r="A2" s="49" t="s">
        <v>91</v>
      </c>
      <c r="B2" s="49"/>
      <c r="C2" s="49"/>
      <c r="D2" s="49"/>
      <c r="E2" s="49"/>
      <c r="F2" s="49"/>
      <c r="G2" s="49"/>
      <c r="H2" s="49"/>
      <c r="I2" s="49"/>
      <c r="J2" s="26"/>
      <c r="K2" s="23"/>
      <c r="L2" s="23"/>
    </row>
    <row r="3" spans="1:12" x14ac:dyDescent="0.25">
      <c r="A3" s="22"/>
      <c r="B3" s="23"/>
      <c r="C3" s="24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5">
      <c r="A4" s="22"/>
      <c r="B4" s="23"/>
      <c r="C4" s="23"/>
      <c r="D4" s="25" t="s">
        <v>30</v>
      </c>
      <c r="E4" s="23"/>
      <c r="F4" s="26" t="s">
        <v>31</v>
      </c>
      <c r="G4" s="26" t="s">
        <v>32</v>
      </c>
      <c r="H4" s="27" t="s">
        <v>30</v>
      </c>
      <c r="I4" s="23"/>
      <c r="J4" s="23"/>
      <c r="K4" s="23"/>
      <c r="L4" s="23"/>
    </row>
    <row r="5" spans="1:12" x14ac:dyDescent="0.25">
      <c r="A5" s="23"/>
      <c r="B5" s="28" t="s">
        <v>90</v>
      </c>
      <c r="C5" s="25" t="s">
        <v>56</v>
      </c>
      <c r="D5" s="24" t="s">
        <v>33</v>
      </c>
      <c r="E5" s="26" t="s">
        <v>34</v>
      </c>
      <c r="F5" s="26" t="s">
        <v>35</v>
      </c>
      <c r="G5" s="26" t="s">
        <v>35</v>
      </c>
      <c r="H5" s="26" t="s">
        <v>33</v>
      </c>
      <c r="I5" s="26" t="s">
        <v>34</v>
      </c>
      <c r="J5" s="23"/>
      <c r="K5" s="23"/>
      <c r="L5" s="23"/>
    </row>
    <row r="6" spans="1:12" x14ac:dyDescent="0.25">
      <c r="A6" s="23"/>
      <c r="B6" s="29" t="s">
        <v>4</v>
      </c>
      <c r="C6" s="29" t="s">
        <v>4</v>
      </c>
      <c r="D6" s="29" t="s">
        <v>4</v>
      </c>
      <c r="E6" s="30" t="s">
        <v>4</v>
      </c>
      <c r="F6" s="30" t="s">
        <v>4</v>
      </c>
      <c r="G6" s="30" t="s">
        <v>4</v>
      </c>
      <c r="H6" s="30" t="s">
        <v>4</v>
      </c>
      <c r="I6" s="30" t="s">
        <v>4</v>
      </c>
      <c r="J6" s="23"/>
      <c r="K6" s="23"/>
      <c r="L6" s="23"/>
    </row>
    <row r="7" spans="1:12" x14ac:dyDescent="0.25">
      <c r="A7" s="14" t="s">
        <v>89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x14ac:dyDescent="0.25">
      <c r="A8" s="14" t="s">
        <v>36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x14ac:dyDescent="0.25">
      <c r="A9" s="1" t="s">
        <v>5</v>
      </c>
      <c r="B9" s="20">
        <v>146270567.41</v>
      </c>
      <c r="C9" s="20">
        <f>[1]FY25!I7</f>
        <v>136588343.22</v>
      </c>
      <c r="D9" s="20">
        <f>B9-C9</f>
        <v>9682224.1899999976</v>
      </c>
      <c r="E9" s="31">
        <f>D9/C9</f>
        <v>7.0886167602201899E-2</v>
      </c>
      <c r="F9" s="32">
        <f>'[1]REV PED 1'!F9+'[1]REV PED 2'!B9+'[1]REV PED 3'!B9+'[1]REV PED 4'!B9+'[1]REV PED 5'!B9+'[1]REV PED 6'!B9+B9</f>
        <v>1116592377.4100001</v>
      </c>
      <c r="G9" s="32">
        <f>[1]FY25!C7+[1]FY25!D7+[1]FY25!E7+[1]FY25!F7+[1]FY25!G7+[1]FY25!H7+[1]FY25!I7</f>
        <v>956801332.43999994</v>
      </c>
      <c r="H9" s="32">
        <f>F9-G9</f>
        <v>159791044.97000015</v>
      </c>
      <c r="I9" s="31">
        <f>H9/G9</f>
        <v>0.16700545824127025</v>
      </c>
      <c r="J9" s="23"/>
      <c r="K9" s="23"/>
      <c r="L9" s="23"/>
    </row>
    <row r="10" spans="1:12" x14ac:dyDescent="0.25">
      <c r="A10" s="1" t="s">
        <v>6</v>
      </c>
      <c r="B10" s="20">
        <v>184554514.25999999</v>
      </c>
      <c r="C10" s="20">
        <f>[1]FY25!I8</f>
        <v>176901568.63</v>
      </c>
      <c r="D10" s="20">
        <f t="shared" ref="D10:D13" si="0">B10-C10</f>
        <v>7652945.6299999952</v>
      </c>
      <c r="E10" s="31">
        <f t="shared" ref="E10:E12" si="1">D10/C10</f>
        <v>4.3261038832315725E-2</v>
      </c>
      <c r="F10" s="32">
        <f>'[1]REV PED 1'!F10+'[1]REV PED 2'!B10+'[1]REV PED 3'!B10+'[1]REV PED 4'!B10+'[1]REV PED 5'!B10+'[1]REV PED 6'!B10+B10</f>
        <v>1397505358.4200001</v>
      </c>
      <c r="G10" s="32">
        <f>[1]FY25!C8+[1]FY25!D8+[1]FY25!E8+[1]FY25!F8+[1]FY25!G8+[1]FY25!H8+[1]FY25!I8</f>
        <v>1219240733.9499998</v>
      </c>
      <c r="H10" s="32">
        <f t="shared" ref="H10:H13" si="2">F10-G10</f>
        <v>178264624.47000027</v>
      </c>
      <c r="I10" s="31">
        <f t="shared" ref="I10:I13" si="3">H10/G10</f>
        <v>0.14620953803968853</v>
      </c>
      <c r="J10" s="23"/>
      <c r="K10" s="23"/>
      <c r="L10" s="23"/>
    </row>
    <row r="11" spans="1:12" x14ac:dyDescent="0.25">
      <c r="A11" s="1" t="s">
        <v>7</v>
      </c>
      <c r="B11" s="20">
        <v>34935669.340000004</v>
      </c>
      <c r="C11" s="20">
        <f>[1]FY25!I9</f>
        <v>34019843.439999998</v>
      </c>
      <c r="D11" s="20">
        <f t="shared" si="0"/>
        <v>915825.90000000596</v>
      </c>
      <c r="E11" s="31">
        <f t="shared" si="1"/>
        <v>2.6920344345946996E-2</v>
      </c>
      <c r="F11" s="32">
        <f>'[1]REV PED 1'!F11+'[1]REV PED 2'!B11+'[1]REV PED 3'!B11+'[1]REV PED 4'!B11+'[1]REV PED 5'!B11+'[1]REV PED 6'!B11+B11</f>
        <v>265932875.03000003</v>
      </c>
      <c r="G11" s="32">
        <f>[1]FY25!C9+[1]FY25!D9+[1]FY25!E9+[1]FY25!F9+[1]FY25!G9+[1]FY25!H9+[1]FY25!I9</f>
        <v>234334125.06000003</v>
      </c>
      <c r="H11" s="32">
        <f t="shared" si="2"/>
        <v>31598749.969999999</v>
      </c>
      <c r="I11" s="31">
        <f t="shared" si="3"/>
        <v>0.13484485011267267</v>
      </c>
      <c r="J11" s="23"/>
      <c r="K11" s="23"/>
      <c r="L11" s="23"/>
    </row>
    <row r="12" spans="1:12" x14ac:dyDescent="0.25">
      <c r="A12" s="1" t="s">
        <v>8</v>
      </c>
      <c r="B12" s="20">
        <v>122264750.09</v>
      </c>
      <c r="C12" s="20">
        <f>[1]FY25!I10</f>
        <v>119040623.23</v>
      </c>
      <c r="D12" s="20">
        <f t="shared" si="0"/>
        <v>3224126.8599999994</v>
      </c>
      <c r="E12" s="31">
        <f t="shared" si="1"/>
        <v>2.7084257226800804E-2</v>
      </c>
      <c r="F12" s="32">
        <f>'[1]REV PED 1'!F12+'[1]REV PED 2'!B12+'[1]REV PED 3'!B12+'[1]REV PED 4'!B12+'[1]REV PED 5'!B12+'[1]REV PED 6'!B12+B12</f>
        <v>930715639.81999993</v>
      </c>
      <c r="G12" s="32">
        <f>[1]FY25!C10+[1]FY25!D10+[1]FY25!E10+[1]FY25!F10+[1]FY25!G10+[1]FY25!H10+[1]FY25!I10</f>
        <v>819967928.8900001</v>
      </c>
      <c r="H12" s="32">
        <f t="shared" si="2"/>
        <v>110747710.92999983</v>
      </c>
      <c r="I12" s="31">
        <f t="shared" si="3"/>
        <v>0.13506346654303938</v>
      </c>
      <c r="J12" s="23"/>
      <c r="K12" s="23"/>
      <c r="L12" s="23"/>
    </row>
    <row r="13" spans="1:12" x14ac:dyDescent="0.25">
      <c r="A13" s="1" t="s">
        <v>9</v>
      </c>
      <c r="B13" s="20">
        <v>95895575.069999993</v>
      </c>
      <c r="C13" s="20">
        <f>[1]FY25!I11</f>
        <v>93588767.469999999</v>
      </c>
      <c r="D13" s="20">
        <f t="shared" si="0"/>
        <v>2306807.599999994</v>
      </c>
      <c r="E13" s="31">
        <f>D13/C13</f>
        <v>2.4648338282042707E-2</v>
      </c>
      <c r="F13" s="32">
        <f>'[1]REV PED 1'!F13+'[1]REV PED 2'!B13+'[1]REV PED 3'!B13+'[1]REV PED 4'!B13+'[1]REV PED 5'!B13+'[1]REV PED 6'!B13+B13</f>
        <v>727574538.6500001</v>
      </c>
      <c r="G13" s="32">
        <f>[1]FY25!C11+[1]FY25!D11+[1]FY25!E11+[1]FY25!F11+[1]FY25!G11+[1]FY25!H11+[1]FY25!I11</f>
        <v>648562570.98000014</v>
      </c>
      <c r="H13" s="32">
        <f t="shared" si="2"/>
        <v>79011967.669999957</v>
      </c>
      <c r="I13" s="31">
        <f t="shared" si="3"/>
        <v>0.12182628354672115</v>
      </c>
      <c r="J13" s="23"/>
      <c r="K13" s="23"/>
      <c r="L13" s="23"/>
    </row>
    <row r="14" spans="1:12" x14ac:dyDescent="0.25">
      <c r="A14" s="23"/>
      <c r="B14" s="29" t="s">
        <v>4</v>
      </c>
      <c r="C14" s="29" t="s">
        <v>4</v>
      </c>
      <c r="D14" s="29" t="s">
        <v>4</v>
      </c>
      <c r="E14" s="30" t="s">
        <v>4</v>
      </c>
      <c r="F14" s="30" t="s">
        <v>4</v>
      </c>
      <c r="G14" s="30" t="s">
        <v>4</v>
      </c>
      <c r="H14" s="30" t="s">
        <v>4</v>
      </c>
      <c r="I14" s="30" t="s">
        <v>4</v>
      </c>
      <c r="J14" s="23"/>
      <c r="K14" s="23"/>
      <c r="L14" s="23"/>
    </row>
    <row r="15" spans="1:12" x14ac:dyDescent="0.25">
      <c r="A15" s="18" t="s">
        <v>10</v>
      </c>
      <c r="B15" s="33">
        <f>SUM(B9:B13)</f>
        <v>583921076.17000008</v>
      </c>
      <c r="C15" s="33">
        <f>SUM(C9:C13)</f>
        <v>560139145.99000001</v>
      </c>
      <c r="D15" s="33">
        <f>SUM(D9:D13)</f>
        <v>23781930.179999992</v>
      </c>
      <c r="E15" s="34">
        <f>D15/C15</f>
        <v>4.2457182916518683E-2</v>
      </c>
      <c r="F15" s="35">
        <f>SUM(F9:F13)</f>
        <v>4438320789.3299999</v>
      </c>
      <c r="G15" s="35">
        <f>SUM(G9:G13)</f>
        <v>3878906691.3200002</v>
      </c>
      <c r="H15" s="35">
        <f>SUM(H9:H13)</f>
        <v>559414098.01000023</v>
      </c>
      <c r="I15" s="34">
        <f>H15/G15</f>
        <v>0.14421952950346181</v>
      </c>
      <c r="J15" s="18"/>
      <c r="K15" s="23"/>
      <c r="L15" s="23"/>
    </row>
    <row r="16" spans="1:12" x14ac:dyDescent="0.25">
      <c r="A16" s="23"/>
      <c r="B16" s="20"/>
      <c r="C16" s="20"/>
      <c r="D16" s="23"/>
      <c r="E16" s="31"/>
      <c r="F16" s="23"/>
      <c r="G16" s="23"/>
      <c r="H16" s="23"/>
      <c r="I16" s="23"/>
      <c r="J16" s="23"/>
      <c r="K16" s="23"/>
      <c r="L16" s="23"/>
    </row>
    <row r="17" spans="1:12" x14ac:dyDescent="0.25">
      <c r="A17" s="1" t="s">
        <v>11</v>
      </c>
      <c r="B17" s="20"/>
      <c r="C17" s="20">
        <f>[1]FY25!I15</f>
        <v>0</v>
      </c>
      <c r="D17" s="20">
        <f>B17-C17</f>
        <v>0</v>
      </c>
      <c r="E17" s="31">
        <f t="shared" ref="E17:E18" si="4">IF(C17=0,0,D17/C17)</f>
        <v>0</v>
      </c>
      <c r="F17" s="32">
        <f>'[1]REV PED 3'!F17+'[1]REV PED 6'!B17+B17</f>
        <v>65761.53</v>
      </c>
      <c r="G17" s="32">
        <f>[1]FY25!C15+[1]FY25!D15+[1]FY25!E15+[1]FY25!F15+[1]FY25!G15+[1]FY25!H15+[1]FY25!I15</f>
        <v>145751.43</v>
      </c>
      <c r="H17" s="32">
        <f>F17-G17</f>
        <v>-79989.899999999994</v>
      </c>
      <c r="I17" s="31">
        <f>H17/G17</f>
        <v>-0.54881039589114156</v>
      </c>
      <c r="J17" s="23"/>
      <c r="K17" s="23"/>
      <c r="L17" s="23"/>
    </row>
    <row r="18" spans="1:12" x14ac:dyDescent="0.25">
      <c r="A18" s="18" t="s">
        <v>12</v>
      </c>
      <c r="B18" s="20"/>
      <c r="C18" s="20">
        <f>[1]FY25!I16</f>
        <v>0</v>
      </c>
      <c r="D18" s="20">
        <f>B18-C18</f>
        <v>0</v>
      </c>
      <c r="E18" s="31">
        <f t="shared" si="4"/>
        <v>0</v>
      </c>
      <c r="F18" s="32">
        <f>'[1]REV PED 3'!F18+'[1]REV PED 6'!B18+B18</f>
        <v>356748501.92000002</v>
      </c>
      <c r="G18" s="32">
        <f>[1]FY25!C16+[1]FY25!D16+[1]FY25!E16+[1]FY25!F16+[1]FY25!G16+[1]FY25!H16+[1]FY25!I16</f>
        <v>356175752.69999999</v>
      </c>
      <c r="H18" s="32">
        <f>F18-G18</f>
        <v>572749.22000002861</v>
      </c>
      <c r="I18" s="31">
        <f>H18/G18</f>
        <v>1.6080522485269913E-3</v>
      </c>
      <c r="J18" s="23"/>
      <c r="K18" s="23"/>
      <c r="L18" s="23"/>
    </row>
    <row r="19" spans="1:12" x14ac:dyDescent="0.25">
      <c r="A19" s="23"/>
      <c r="B19" s="29" t="s">
        <v>4</v>
      </c>
      <c r="C19" s="29" t="s">
        <v>4</v>
      </c>
      <c r="D19" s="29" t="s">
        <v>4</v>
      </c>
      <c r="E19" s="30" t="s">
        <v>4</v>
      </c>
      <c r="F19" s="30" t="s">
        <v>4</v>
      </c>
      <c r="G19" s="30" t="s">
        <v>4</v>
      </c>
      <c r="H19" s="30" t="s">
        <v>4</v>
      </c>
      <c r="I19" s="30" t="s">
        <v>4</v>
      </c>
      <c r="J19" s="23"/>
      <c r="K19" s="23"/>
      <c r="L19" s="23"/>
    </row>
    <row r="20" spans="1:12" x14ac:dyDescent="0.25">
      <c r="A20" s="18" t="s">
        <v>13</v>
      </c>
      <c r="B20" s="20">
        <f>SUM(B15:B18)</f>
        <v>583921076.17000008</v>
      </c>
      <c r="C20" s="20">
        <f t="shared" ref="C20:H20" si="5">SUM(C15:C18)</f>
        <v>560139145.99000001</v>
      </c>
      <c r="D20" s="20">
        <f t="shared" si="5"/>
        <v>23781930.179999992</v>
      </c>
      <c r="E20" s="31">
        <f>D20/C20</f>
        <v>4.2457182916518683E-2</v>
      </c>
      <c r="F20" s="20">
        <f t="shared" si="5"/>
        <v>4795135052.7799997</v>
      </c>
      <c r="G20" s="20">
        <f t="shared" si="5"/>
        <v>4235228195.4499998</v>
      </c>
      <c r="H20" s="20">
        <f t="shared" si="5"/>
        <v>559906857.33000028</v>
      </c>
      <c r="I20" s="31">
        <f>H20/G20</f>
        <v>0.13220228792666253</v>
      </c>
      <c r="J20" s="23"/>
      <c r="K20" s="23"/>
      <c r="L20" s="23"/>
    </row>
    <row r="21" spans="1:12" x14ac:dyDescent="0.25">
      <c r="A21" s="18"/>
      <c r="B21" s="20"/>
      <c r="C21" s="20"/>
      <c r="D21" s="20"/>
      <c r="E21" s="31"/>
      <c r="F21" s="32"/>
      <c r="G21" s="32"/>
      <c r="H21" s="32"/>
      <c r="I21" s="31"/>
      <c r="J21" s="23"/>
      <c r="K21" s="23"/>
      <c r="L21" s="23"/>
    </row>
    <row r="22" spans="1:12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x14ac:dyDescent="0.25">
      <c r="A23" s="14" t="s">
        <v>88</v>
      </c>
      <c r="B23" s="20"/>
      <c r="C23" s="20"/>
      <c r="D23" s="20"/>
      <c r="E23" s="31"/>
      <c r="F23" s="32"/>
      <c r="G23" s="32"/>
      <c r="H23" s="32"/>
      <c r="I23" s="31"/>
      <c r="J23" s="23"/>
      <c r="K23" s="23"/>
      <c r="L23" s="23"/>
    </row>
    <row r="24" spans="1:12" x14ac:dyDescent="0.25">
      <c r="A24" s="36" t="s">
        <v>37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x14ac:dyDescent="0.25">
      <c r="A25" s="18" t="s">
        <v>16</v>
      </c>
      <c r="B25" s="20">
        <f>554675.69+9429486.73+34727.58</f>
        <v>10018890</v>
      </c>
      <c r="C25" s="20">
        <f>[1]FY25!I22</f>
        <v>10557612.5</v>
      </c>
      <c r="D25" s="20">
        <f>B25-C25</f>
        <v>-538722.5</v>
      </c>
      <c r="E25" s="31">
        <f>D25/C25</f>
        <v>-5.1026924884769162E-2</v>
      </c>
      <c r="F25" s="32">
        <f>'[1]REV PED 1'!B25+'[1]REV PED 2'!B25+'[1]REV PED 3'!B25+'[1]REV PED 4'!B25+'[1]REV PED 5'!B25+'[1]REV PED 6'!B25+B25</f>
        <v>56209497.760000005</v>
      </c>
      <c r="G25" s="32">
        <f>[1]FY25!C22+[1]FY25!D22+[1]FY25!E22+[1]FY25!F22+[1]FY25!G22+[1]FY25!H22+[1]FY25!I22</f>
        <v>71830446.580000013</v>
      </c>
      <c r="H25" s="32">
        <f>F25-G25</f>
        <v>-15620948.820000008</v>
      </c>
      <c r="I25" s="31">
        <f>H25/G25</f>
        <v>-0.21746974387250154</v>
      </c>
      <c r="J25" s="23"/>
      <c r="K25" s="23"/>
      <c r="L25" s="23"/>
    </row>
    <row r="26" spans="1:12" x14ac:dyDescent="0.25">
      <c r="A26" s="18" t="s">
        <v>17</v>
      </c>
      <c r="B26" s="20">
        <v>689330.02</v>
      </c>
      <c r="C26" s="20">
        <f>[1]FY25!I23</f>
        <v>2603299.04</v>
      </c>
      <c r="D26" s="20">
        <f t="shared" ref="D26:D34" si="6">B26-C26</f>
        <v>-1913969.02</v>
      </c>
      <c r="E26" s="31">
        <f t="shared" ref="E26:E31" si="7">D26/C26</f>
        <v>-0.73520905228006384</v>
      </c>
      <c r="F26" s="32">
        <f>'[1]REV PED 1'!B26+'[1]REV PED 2'!B26+'[1]REV PED 3'!B26+'[1]REV PED 4'!B26+'[1]REV PED 5'!B26+'[1]REV PED 6'!B26+B26</f>
        <v>21766996.469999999</v>
      </c>
      <c r="G26" s="32">
        <f>[1]FY25!C23+[1]FY25!D23+[1]FY25!E23+[1]FY25!F23+[1]FY25!G23+[1]FY25!H23+[1]FY25!I23</f>
        <v>15669273.140000001</v>
      </c>
      <c r="H26" s="32">
        <f t="shared" ref="H26:H34" si="8">F26-G26</f>
        <v>6097723.3299999982</v>
      </c>
      <c r="I26" s="31">
        <f t="shared" ref="I26:I31" si="9">H26/G26</f>
        <v>0.38915163935932245</v>
      </c>
      <c r="J26" s="23"/>
      <c r="K26" s="23"/>
      <c r="L26" s="23"/>
    </row>
    <row r="27" spans="1:12" x14ac:dyDescent="0.25">
      <c r="A27" s="18" t="s">
        <v>18</v>
      </c>
      <c r="B27" s="20">
        <v>3287873.1</v>
      </c>
      <c r="C27" s="20">
        <f>[1]FY25!I24</f>
        <v>7339570.5099999998</v>
      </c>
      <c r="D27" s="20">
        <f t="shared" si="6"/>
        <v>-4051697.4099999997</v>
      </c>
      <c r="E27" s="31">
        <f t="shared" si="7"/>
        <v>-0.552034673483912</v>
      </c>
      <c r="F27" s="32">
        <f>'[1]REV PED 1'!B27+'[1]REV PED 2'!B27+'[1]REV PED 3'!B27+'[1]REV PED 4'!B27+'[1]REV PED 5'!B27+'[1]REV PED 6'!B27+B27</f>
        <v>30785656.460000001</v>
      </c>
      <c r="G27" s="32">
        <f>[1]FY25!C24+[1]FY25!D24+[1]FY25!E24+[1]FY25!F24+[1]FY25!G24+[1]FY25!H24+[1]FY25!I24</f>
        <v>24277042.939999998</v>
      </c>
      <c r="H27" s="32">
        <f t="shared" si="8"/>
        <v>6508613.5200000033</v>
      </c>
      <c r="I27" s="31">
        <f t="shared" si="9"/>
        <v>0.26809745882502461</v>
      </c>
      <c r="J27" s="23"/>
      <c r="K27" s="23"/>
      <c r="L27" s="23"/>
    </row>
    <row r="28" spans="1:12" x14ac:dyDescent="0.25">
      <c r="A28" s="18" t="s">
        <v>19</v>
      </c>
      <c r="B28" s="20">
        <v>0</v>
      </c>
      <c r="C28" s="20">
        <f>[1]FY25!I25</f>
        <v>0</v>
      </c>
      <c r="D28" s="20">
        <f t="shared" si="6"/>
        <v>0</v>
      </c>
      <c r="E28" s="31">
        <f t="shared" ref="E28:E34" si="10">IF(C28=0,0,D28/C28)</f>
        <v>0</v>
      </c>
      <c r="F28" s="32">
        <f>'[1]REV PED 1'!B28+'[1]REV PED 2'!B28+'[1]REV PED 3'!B28+'[1]REV PED 4'!B28+'[1]REV PED 5'!B28+'[1]REV PED 6'!B28+B28</f>
        <v>330025136.37</v>
      </c>
      <c r="G28" s="32">
        <f>[1]FY25!C25+[1]FY25!D25+[1]FY25!E25+[1]FY25!F25+[1]FY25!G25+[1]FY25!H25+[1]FY25!I25</f>
        <v>308831953.99000001</v>
      </c>
      <c r="H28" s="32">
        <f t="shared" si="8"/>
        <v>21193182.379999995</v>
      </c>
      <c r="I28" s="31">
        <f>H28/G28</f>
        <v>6.862367091938365E-2</v>
      </c>
      <c r="J28" s="23"/>
      <c r="K28" s="23"/>
      <c r="L28" s="23"/>
    </row>
    <row r="29" spans="1:12" x14ac:dyDescent="0.25">
      <c r="A29" s="18" t="s">
        <v>20</v>
      </c>
      <c r="B29" s="20">
        <v>161273.04999999999</v>
      </c>
      <c r="C29" s="20">
        <f>[1]FY25!I26</f>
        <v>145382.17000000001</v>
      </c>
      <c r="D29" s="20">
        <f t="shared" si="6"/>
        <v>15890.879999999976</v>
      </c>
      <c r="E29" s="31">
        <f t="shared" si="7"/>
        <v>0.10930418771435296</v>
      </c>
      <c r="F29" s="32">
        <f>'[1]REV PED 1'!B29+'[1]REV PED 2'!B29+'[1]REV PED 3'!B29+'[1]REV PED 4'!B29+'[1]REV PED 5'!B29+'[1]REV PED 6'!B29+B29</f>
        <v>1319404.78</v>
      </c>
      <c r="G29" s="32">
        <f>[1]FY25!C26+[1]FY25!D26+[1]FY25!E26+[1]FY25!F26+[1]FY25!G26+[1]FY25!H26+[1]FY25!I26</f>
        <v>1337262.25</v>
      </c>
      <c r="H29" s="32">
        <f t="shared" si="8"/>
        <v>-17857.469999999972</v>
      </c>
      <c r="I29" s="31">
        <f t="shared" si="9"/>
        <v>-1.335375316247802E-2</v>
      </c>
      <c r="J29" s="23"/>
      <c r="K29" s="23"/>
      <c r="L29" s="23"/>
    </row>
    <row r="30" spans="1:12" x14ac:dyDescent="0.25">
      <c r="A30" s="18" t="s">
        <v>38</v>
      </c>
      <c r="B30" s="20">
        <v>0</v>
      </c>
      <c r="C30" s="20">
        <f>[1]FY25!I27</f>
        <v>0</v>
      </c>
      <c r="D30" s="20">
        <f t="shared" si="6"/>
        <v>0</v>
      </c>
      <c r="E30" s="31">
        <f t="shared" si="10"/>
        <v>0</v>
      </c>
      <c r="F30" s="32">
        <f>'[1]REV PED 1'!B30+'[1]REV PED 2'!B30+'[1]REV PED 3'!B30+'[1]REV PED 4'!B30+'[1]REV PED 5'!B30+'[1]REV PED 6'!B30+B30</f>
        <v>38748733.170000002</v>
      </c>
      <c r="G30" s="32">
        <f>[1]FY25!C27+[1]FY25!D27+[1]FY25!E27+[1]FY25!F27+[1]FY25!G27+[1]FY25!H27+[1]FY25!I27</f>
        <v>40492621.490000002</v>
      </c>
      <c r="H30" s="32">
        <f t="shared" si="8"/>
        <v>-1743888.3200000003</v>
      </c>
      <c r="I30" s="31">
        <f>H30/G30</f>
        <v>-4.3066817010863775E-2</v>
      </c>
      <c r="J30" s="23"/>
      <c r="K30" s="23"/>
      <c r="L30" s="23"/>
    </row>
    <row r="31" spans="1:12" x14ac:dyDescent="0.25">
      <c r="A31" s="18" t="s">
        <v>22</v>
      </c>
      <c r="B31" s="20">
        <v>11973303.949999999</v>
      </c>
      <c r="C31" s="20">
        <f>[1]FY25!I28</f>
        <v>17554423.050000001</v>
      </c>
      <c r="D31" s="20">
        <f t="shared" si="6"/>
        <v>-5581119.1000000015</v>
      </c>
      <c r="E31" s="31">
        <f t="shared" si="7"/>
        <v>-0.31793235722435215</v>
      </c>
      <c r="F31" s="32">
        <f>'[1]REV PED 1'!B31+'[1]REV PED 2'!B31+'[1]REV PED 3'!B31+'[1]REV PED 4'!B31+'[1]REV PED 5'!B31+'[1]REV PED 6'!B31+B31</f>
        <v>74425420.390000001</v>
      </c>
      <c r="G31" s="32">
        <f>[1]FY25!C28+[1]FY25!D28+[1]FY25!E28+[1]FY25!F28+[1]FY25!G28+[1]FY25!H28+[1]FY25!I28</f>
        <v>61413222.549999997</v>
      </c>
      <c r="H31" s="32">
        <f t="shared" si="8"/>
        <v>13012197.840000004</v>
      </c>
      <c r="I31" s="31">
        <f t="shared" si="9"/>
        <v>0.21187941781439712</v>
      </c>
      <c r="J31" s="23"/>
      <c r="K31" s="23"/>
      <c r="L31" s="23"/>
    </row>
    <row r="32" spans="1:12" x14ac:dyDescent="0.25">
      <c r="A32" s="18" t="s">
        <v>23</v>
      </c>
      <c r="B32" s="20">
        <v>0</v>
      </c>
      <c r="C32" s="20">
        <f>[1]FY25!I29</f>
        <v>0</v>
      </c>
      <c r="D32" s="20">
        <f t="shared" si="6"/>
        <v>0</v>
      </c>
      <c r="E32" s="31">
        <f t="shared" si="10"/>
        <v>0</v>
      </c>
      <c r="F32" s="32">
        <f>'[1]REV PED 1'!B32+'[1]REV PED 2'!B32+'[1]REV PED 3'!B32+'[1]REV PED 4'!B32+'[1]REV PED 5'!B32+'[1]REV PED 6'!B32+B32</f>
        <v>761748.75</v>
      </c>
      <c r="G32" s="32">
        <f>[1]FY25!C29+[1]FY25!D29+[1]FY25!E29+[1]FY25!F29+[1]FY25!G29+[1]FY25!H29+[1]FY25!I29</f>
        <v>934255</v>
      </c>
      <c r="H32" s="32">
        <f t="shared" si="8"/>
        <v>-172506.25</v>
      </c>
      <c r="I32" s="31">
        <f>H32/G32</f>
        <v>-0.18464578728505601</v>
      </c>
      <c r="J32" s="23"/>
      <c r="K32" s="23"/>
      <c r="L32" s="23"/>
    </row>
    <row r="33" spans="1:12" x14ac:dyDescent="0.25">
      <c r="A33" s="18" t="s">
        <v>49</v>
      </c>
      <c r="B33" s="20">
        <v>0</v>
      </c>
      <c r="C33" s="20">
        <f>[1]FY25!I30</f>
        <v>0</v>
      </c>
      <c r="D33" s="20">
        <f t="shared" si="6"/>
        <v>0</v>
      </c>
      <c r="E33" s="31">
        <f t="shared" si="10"/>
        <v>0</v>
      </c>
      <c r="F33" s="32">
        <f>'[1]REV PED 1'!B33+'[1]REV PED 2'!B33+'[1]REV PED 3'!B33+'[1]REV PED 4'!B33+'[1]REV PED 5'!B33+'[1]REV PED 6'!B33+B33</f>
        <v>119356907.73999999</v>
      </c>
      <c r="G33" s="32">
        <f>[1]FY25!C30+[1]FY25!D30+[1]FY25!E30+[1]FY25!F30+[1]FY25!G30+[1]FY25!H30+[1]FY25!I30</f>
        <v>71511543.319999993</v>
      </c>
      <c r="H33" s="32">
        <f t="shared" si="8"/>
        <v>47845364.420000002</v>
      </c>
      <c r="I33" s="31">
        <f>H33/G33</f>
        <v>0.6690579198647898</v>
      </c>
      <c r="J33" s="23"/>
      <c r="K33" s="23"/>
      <c r="L33" s="23"/>
    </row>
    <row r="34" spans="1:12" x14ac:dyDescent="0.25">
      <c r="A34" s="18" t="s">
        <v>24</v>
      </c>
      <c r="B34" s="20">
        <v>0</v>
      </c>
      <c r="C34" s="20">
        <f>[1]FY25!I31</f>
        <v>0</v>
      </c>
      <c r="D34" s="20">
        <f t="shared" si="6"/>
        <v>0</v>
      </c>
      <c r="E34" s="31">
        <f t="shared" si="10"/>
        <v>0</v>
      </c>
      <c r="F34" s="32">
        <f>'[1]REV PED 1'!B34+'[1]REV PED 2'!B34+'[1]REV PED 3'!B34+'[1]REV PED 4'!B34+'[1]REV PED 5'!B34+'[1]REV PED 6'!B34+B34</f>
        <v>60732643.849999994</v>
      </c>
      <c r="G34" s="32">
        <f>[1]FY25!C31+[1]FY25!D31+[1]FY25!E31+[1]FY25!F31+[1]FY25!G31+[1]FY25!H31+[1]FY25!I31</f>
        <v>63879183.18</v>
      </c>
      <c r="H34" s="32">
        <f t="shared" si="8"/>
        <v>-3146539.3300000057</v>
      </c>
      <c r="I34" s="31">
        <f>H34/G34</f>
        <v>-4.9257663817234891E-2</v>
      </c>
      <c r="J34" s="23"/>
      <c r="K34" s="23"/>
      <c r="L34" s="23"/>
    </row>
    <row r="35" spans="1:12" x14ac:dyDescent="0.25">
      <c r="A35" s="18" t="s">
        <v>25</v>
      </c>
      <c r="B35" s="21" t="s">
        <v>66</v>
      </c>
      <c r="C35" s="21" t="s">
        <v>66</v>
      </c>
      <c r="D35" s="21" t="s">
        <v>43</v>
      </c>
      <c r="E35" s="21" t="s">
        <v>42</v>
      </c>
      <c r="F35" s="21" t="s">
        <v>41</v>
      </c>
      <c r="G35" s="37" t="s">
        <v>67</v>
      </c>
      <c r="H35" s="21" t="s">
        <v>40</v>
      </c>
      <c r="I35" s="21" t="s">
        <v>39</v>
      </c>
      <c r="J35" s="23"/>
      <c r="K35" s="23"/>
      <c r="L35" s="23"/>
    </row>
    <row r="36" spans="1:12" x14ac:dyDescent="0.25">
      <c r="A36" s="18" t="s">
        <v>26</v>
      </c>
      <c r="B36" s="20">
        <f>132928.72+2016885.13+215968.14</f>
        <v>2365781.9900000002</v>
      </c>
      <c r="C36" s="20">
        <f>[1]FY25!I33</f>
        <v>492270.63</v>
      </c>
      <c r="D36" s="20">
        <f>B36-C36</f>
        <v>1873511.3600000003</v>
      </c>
      <c r="E36" s="31">
        <f>D36/C36</f>
        <v>3.8058564655787008</v>
      </c>
      <c r="F36" s="32">
        <f>'[1]REV PED 1'!B36+'[1]REV PED 2'!B36+'[1]REV PED 3'!B36+'[1]REV PED 4'!B36+'[1]REV PED 5'!B36+'[1]REV PED 6'!B36+B36</f>
        <v>17192924.729999997</v>
      </c>
      <c r="G36" s="32">
        <f>[1]FY25!C33+[1]FY25!D33+[1]FY25!E33+[1]FY25!F33+[1]FY25!G33+[1]FY25!H33+[1]FY25!I33</f>
        <v>17790340.939999998</v>
      </c>
      <c r="H36" s="32">
        <f>F36-G36</f>
        <v>-597416.21000000089</v>
      </c>
      <c r="I36" s="31">
        <f>H36/G36</f>
        <v>-3.358093091160292E-2</v>
      </c>
      <c r="J36" s="23"/>
      <c r="K36" s="23"/>
      <c r="L36" s="23"/>
    </row>
    <row r="37" spans="1:12" x14ac:dyDescent="0.25">
      <c r="A37" s="18" t="s">
        <v>27</v>
      </c>
      <c r="B37" s="20">
        <f>206358.12+15367870.08+2024332.63</f>
        <v>17598560.829999998</v>
      </c>
      <c r="C37" s="20">
        <f>[1]FY25!I34</f>
        <v>19307068.699999999</v>
      </c>
      <c r="D37" s="20">
        <f>B37-C37</f>
        <v>-1708507.870000001</v>
      </c>
      <c r="E37" s="31">
        <f>D37/C37</f>
        <v>-8.84913135467323E-2</v>
      </c>
      <c r="F37" s="32">
        <f>'[1]REV PED 1'!B37+'[1]REV PED 2'!B37+'[1]REV PED 3'!B37+'[1]REV PED 4'!B37+'[1]REV PED 5'!B37+'[1]REV PED 6'!B37+B37</f>
        <v>122694954.54999998</v>
      </c>
      <c r="G37" s="32">
        <f>[1]FY25!C34+[1]FY25!D34+[1]FY25!E34+[1]FY25!F34+[1]FY25!G34+[1]FY25!H34+[1]FY25!I34</f>
        <v>119027319.97000001</v>
      </c>
      <c r="H37" s="32">
        <f>F37-G37</f>
        <v>3667634.5799999684</v>
      </c>
      <c r="I37" s="31">
        <f>H37/G37</f>
        <v>3.0813384531587953E-2</v>
      </c>
      <c r="J37" s="23"/>
      <c r="K37" s="23"/>
      <c r="L37" s="23"/>
    </row>
    <row r="38" spans="1:12" x14ac:dyDescent="0.25">
      <c r="A38" s="18" t="s">
        <v>44</v>
      </c>
      <c r="B38" s="20">
        <v>3860212.33</v>
      </c>
      <c r="C38" s="20">
        <f>[1]FY25!I35</f>
        <v>4570533.7300000004</v>
      </c>
      <c r="D38" s="20">
        <f>B38-C38</f>
        <v>-710321.40000000037</v>
      </c>
      <c r="E38" s="31">
        <f>D38/C38</f>
        <v>-0.15541322785511974</v>
      </c>
      <c r="F38" s="32">
        <f>'[1]REV PED 1'!B38+'[1]REV PED 2'!B38+'[1]REV PED 3'!B38+'[1]REV PED 4'!B38+'[1]REV PED 5'!B38+'[1]REV PED 6'!B38+B38</f>
        <v>26197928.460000001</v>
      </c>
      <c r="G38" s="32">
        <f>[1]FY25!C35+[1]FY25!D35+[1]FY25!E35+[1]FY25!F35+[1]FY25!G35+[1]FY25!H35+[1]FY25!I35</f>
        <v>26534161.960000001</v>
      </c>
      <c r="H38" s="32">
        <f>F38-G38</f>
        <v>-336233.5</v>
      </c>
      <c r="I38" s="31">
        <f>H38/G38</f>
        <v>-1.2671721100778266E-2</v>
      </c>
      <c r="J38" s="23"/>
      <c r="K38" s="23"/>
      <c r="L38" s="23"/>
    </row>
    <row r="39" spans="1:12" x14ac:dyDescent="0.25">
      <c r="A39" s="18" t="s">
        <v>45</v>
      </c>
      <c r="B39" s="20">
        <v>2110613.61</v>
      </c>
      <c r="C39" s="20">
        <f>[1]FY25!I36</f>
        <v>881977.11</v>
      </c>
      <c r="D39" s="20">
        <f>B39-C39</f>
        <v>1228636.5</v>
      </c>
      <c r="E39" s="31">
        <f>D39/C39</f>
        <v>1.3930480576757827</v>
      </c>
      <c r="F39" s="32">
        <f>'[1]REV PED 1'!B39+'[1]REV PED 2'!B39+'[1]REV PED 3'!B39+'[1]REV PED 4'!B39+'[1]REV PED 5'!B39+'[1]REV PED 6'!B39+B39</f>
        <v>104575506.3</v>
      </c>
      <c r="G39" s="32">
        <f>[1]FY25!C36+[1]FY25!D36+[1]FY25!E36+[1]FY25!F36+[1]FY25!G36+[1]FY25!H36+[1]FY25!I36</f>
        <v>20572798.379999999</v>
      </c>
      <c r="H39" s="32">
        <f>F39-G39</f>
        <v>84002707.920000002</v>
      </c>
      <c r="I39" s="31">
        <f>H39/G39</f>
        <v>4.0831930770129876</v>
      </c>
      <c r="J39" s="23"/>
      <c r="K39" s="23"/>
      <c r="L39" s="23"/>
    </row>
    <row r="40" spans="1:12" x14ac:dyDescent="0.25">
      <c r="A40" s="18" t="s">
        <v>46</v>
      </c>
      <c r="B40" s="20">
        <f>6660211.39</f>
        <v>6660211.3899999997</v>
      </c>
      <c r="C40" s="20">
        <f>[1]FY25!I37</f>
        <v>6921715.79</v>
      </c>
      <c r="D40" s="20">
        <f t="shared" ref="D40:D41" si="11">B40-C40</f>
        <v>-261504.40000000037</v>
      </c>
      <c r="E40" s="31">
        <f t="shared" ref="E40:E41" si="12">D40/C40</f>
        <v>-3.7780285688384263E-2</v>
      </c>
      <c r="F40" s="32">
        <f>'[1]REV PED 1'!B40+'[1]REV PED 2'!B40+'[1]REV PED 3'!B40+'[1]REV PED 4'!B40+'[1]REV PED 5'!B40+'[1]REV PED 6'!B40+B40</f>
        <v>40467451.410000004</v>
      </c>
      <c r="G40" s="32">
        <f>[1]FY25!C37+[1]FY25!D37+[1]FY25!E37+[1]FY25!F37+[1]FY25!G37+[1]FY25!H37+[1]FY25!I37</f>
        <v>43486090.520000003</v>
      </c>
      <c r="H40" s="32">
        <f t="shared" ref="H40:H41" si="13">F40-G40</f>
        <v>-3018639.1099999994</v>
      </c>
      <c r="I40" s="31">
        <f t="shared" ref="I40:I41" si="14">H40/G40</f>
        <v>-6.941619892484184E-2</v>
      </c>
      <c r="J40" s="23"/>
      <c r="K40" s="23"/>
      <c r="L40" s="23"/>
    </row>
    <row r="41" spans="1:12" x14ac:dyDescent="0.25">
      <c r="A41" s="18" t="s">
        <v>47</v>
      </c>
      <c r="B41" s="20">
        <f>2543493.52</f>
        <v>2543493.52</v>
      </c>
      <c r="C41" s="20">
        <f>[1]FY25!I38</f>
        <v>3853190.85</v>
      </c>
      <c r="D41" s="20">
        <f t="shared" si="11"/>
        <v>-1309697.33</v>
      </c>
      <c r="E41" s="31">
        <f t="shared" si="12"/>
        <v>-0.33989941868568491</v>
      </c>
      <c r="F41" s="32">
        <f>'[1]REV PED 1'!B41+'[1]REV PED 2'!B41+'[1]REV PED 3'!B41+'[1]REV PED 4'!B41+'[1]REV PED 5'!B41+'[1]REV PED 6'!B41+'[1]REV PED 7'!B41</f>
        <v>19357894.52</v>
      </c>
      <c r="G41" s="32">
        <f>[1]FY25!C38+[1]FY25!D38+[1]FY25!E38+[1]FY25!F38+[1]FY25!G38+[1]FY25!H38+[1]FY25!I38</f>
        <v>21024648.530000001</v>
      </c>
      <c r="H41" s="32">
        <f t="shared" si="13"/>
        <v>-1666754.0100000016</v>
      </c>
      <c r="I41" s="31">
        <f t="shared" si="14"/>
        <v>-7.9276188975131542E-2</v>
      </c>
      <c r="J41" s="23"/>
      <c r="K41" s="23"/>
      <c r="L41" s="23"/>
    </row>
    <row r="42" spans="1:12" x14ac:dyDescent="0.25">
      <c r="A42" s="23"/>
      <c r="B42" s="20"/>
      <c r="C42" s="23"/>
      <c r="D42" s="20"/>
      <c r="E42" s="31"/>
      <c r="F42" s="32"/>
      <c r="G42" s="32"/>
      <c r="H42" s="32"/>
      <c r="I42" s="31"/>
      <c r="J42" s="23"/>
      <c r="K42" s="23"/>
      <c r="L42" s="23"/>
    </row>
    <row r="43" spans="1:12" x14ac:dyDescent="0.25">
      <c r="A43" s="18" t="s">
        <v>28</v>
      </c>
      <c r="B43" s="29" t="s">
        <v>4</v>
      </c>
      <c r="C43" s="29" t="s">
        <v>4</v>
      </c>
      <c r="D43" s="29" t="s">
        <v>4</v>
      </c>
      <c r="E43" s="30" t="s">
        <v>4</v>
      </c>
      <c r="F43" s="30" t="s">
        <v>4</v>
      </c>
      <c r="G43" s="30" t="s">
        <v>4</v>
      </c>
      <c r="H43" s="30" t="s">
        <v>4</v>
      </c>
      <c r="I43" s="30" t="s">
        <v>4</v>
      </c>
      <c r="J43" s="23"/>
      <c r="K43" s="23"/>
      <c r="L43" s="23"/>
    </row>
    <row r="44" spans="1:12" x14ac:dyDescent="0.25">
      <c r="A44" s="23"/>
      <c r="B44" s="20">
        <f>SUM(B25:B41)</f>
        <v>61269543.789999999</v>
      </c>
      <c r="C44" s="20">
        <f t="shared" ref="C44:H44" si="15">SUM(C25:C41)</f>
        <v>74227044.079999998</v>
      </c>
      <c r="D44" s="20">
        <f t="shared" si="15"/>
        <v>-12957500.290000005</v>
      </c>
      <c r="E44" s="31">
        <f>D44/C44</f>
        <v>-0.17456575902490129</v>
      </c>
      <c r="F44" s="20">
        <f t="shared" si="15"/>
        <v>1064618805.7099999</v>
      </c>
      <c r="G44" s="20">
        <f t="shared" si="15"/>
        <v>908612164.73999989</v>
      </c>
      <c r="H44" s="20">
        <f t="shared" si="15"/>
        <v>156006640.96999997</v>
      </c>
      <c r="I44" s="31">
        <f>H44/G44</f>
        <v>0.17169772431413727</v>
      </c>
      <c r="J44" s="23"/>
      <c r="K44" s="23"/>
      <c r="L44" s="23"/>
    </row>
    <row r="45" spans="1:12" x14ac:dyDescent="0.25">
      <c r="A45" s="39" t="s">
        <v>29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8" spans="1:12" x14ac:dyDescent="0.25">
      <c r="A48" s="23"/>
      <c r="B48" s="20"/>
      <c r="C48" s="20"/>
      <c r="D48" s="20"/>
      <c r="E48" s="23"/>
      <c r="F48" s="32"/>
      <c r="G48" s="32"/>
      <c r="H48" s="32"/>
      <c r="I48" s="23"/>
      <c r="J48" s="23"/>
      <c r="K48" s="23"/>
      <c r="L48" s="23"/>
    </row>
    <row r="49" spans="1:12" x14ac:dyDescent="0.25">
      <c r="A49" s="23"/>
      <c r="B49" s="23"/>
      <c r="C49" s="20"/>
      <c r="D49" s="23"/>
      <c r="E49" s="23"/>
      <c r="F49" s="23"/>
      <c r="G49" s="23"/>
      <c r="H49" s="23"/>
      <c r="I49" s="23"/>
      <c r="J49" s="23"/>
      <c r="K49" s="23"/>
      <c r="L49" s="23"/>
    </row>
    <row r="53" spans="1:12" x14ac:dyDescent="0.25">
      <c r="B53" s="20"/>
      <c r="C53" s="20"/>
      <c r="D53" s="20"/>
      <c r="E53" s="23"/>
      <c r="F53" s="32"/>
      <c r="G53" s="32"/>
      <c r="H53" s="32"/>
      <c r="I53" s="23"/>
      <c r="J53" s="23"/>
      <c r="K53" s="23"/>
      <c r="L53" s="23"/>
    </row>
  </sheetData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411CD-7C39-4252-BEF7-78DC0E9EAD12}">
  <dimension ref="A1:L53"/>
  <sheetViews>
    <sheetView zoomScale="85" zoomScaleNormal="85" workbookViewId="0">
      <selection sqref="A1:I1"/>
    </sheetView>
  </sheetViews>
  <sheetFormatPr defaultRowHeight="15" x14ac:dyDescent="0.25"/>
  <cols>
    <col min="1" max="1" width="70.5703125" bestFit="1" customWidth="1"/>
    <col min="2" max="3" width="17.42578125" bestFit="1" customWidth="1"/>
    <col min="4" max="4" width="14.42578125" customWidth="1"/>
    <col min="5" max="5" width="11.28515625" customWidth="1"/>
    <col min="6" max="6" width="16.42578125" bestFit="1" customWidth="1"/>
    <col min="7" max="7" width="15.7109375" customWidth="1"/>
    <col min="8" max="8" width="15" bestFit="1" customWidth="1"/>
    <col min="9" max="9" width="10.140625" customWidth="1"/>
    <col min="14" max="14" width="15.5703125" bestFit="1" customWidth="1"/>
  </cols>
  <sheetData>
    <row r="1" spans="1:12" ht="18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6"/>
      <c r="K1" s="23"/>
      <c r="L1" s="23"/>
    </row>
    <row r="2" spans="1:12" x14ac:dyDescent="0.25">
      <c r="A2" s="49" t="s">
        <v>95</v>
      </c>
      <c r="B2" s="49"/>
      <c r="C2" s="49"/>
      <c r="D2" s="49"/>
      <c r="E2" s="49"/>
      <c r="F2" s="49"/>
      <c r="G2" s="49"/>
      <c r="H2" s="49"/>
      <c r="I2" s="49"/>
      <c r="J2" s="26"/>
      <c r="K2" s="23"/>
      <c r="L2" s="23"/>
    </row>
    <row r="3" spans="1:12" x14ac:dyDescent="0.25">
      <c r="A3" s="22"/>
      <c r="B3" s="23"/>
      <c r="C3" s="24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5">
      <c r="A4" s="22"/>
      <c r="B4" s="23"/>
      <c r="C4" s="23"/>
      <c r="D4" s="25" t="s">
        <v>30</v>
      </c>
      <c r="E4" s="23"/>
      <c r="F4" s="26" t="s">
        <v>31</v>
      </c>
      <c r="G4" s="26" t="s">
        <v>32</v>
      </c>
      <c r="H4" s="27" t="s">
        <v>30</v>
      </c>
      <c r="I4" s="23"/>
      <c r="J4" s="23"/>
      <c r="K4" s="23"/>
      <c r="L4" s="23"/>
    </row>
    <row r="5" spans="1:12" x14ac:dyDescent="0.25">
      <c r="A5" s="23"/>
      <c r="B5" s="28" t="s">
        <v>94</v>
      </c>
      <c r="C5" s="25" t="s">
        <v>57</v>
      </c>
      <c r="D5" s="24" t="s">
        <v>33</v>
      </c>
      <c r="E5" s="26" t="s">
        <v>34</v>
      </c>
      <c r="F5" s="26" t="s">
        <v>35</v>
      </c>
      <c r="G5" s="26" t="s">
        <v>35</v>
      </c>
      <c r="H5" s="26" t="s">
        <v>33</v>
      </c>
      <c r="I5" s="26" t="s">
        <v>34</v>
      </c>
      <c r="J5" s="23"/>
      <c r="K5" s="23"/>
      <c r="L5" s="23"/>
    </row>
    <row r="6" spans="1:12" x14ac:dyDescent="0.25">
      <c r="A6" s="23"/>
      <c r="B6" s="29" t="s">
        <v>4</v>
      </c>
      <c r="C6" s="29" t="s">
        <v>4</v>
      </c>
      <c r="D6" s="29" t="s">
        <v>4</v>
      </c>
      <c r="E6" s="30" t="s">
        <v>4</v>
      </c>
      <c r="F6" s="30" t="s">
        <v>4</v>
      </c>
      <c r="G6" s="30" t="s">
        <v>4</v>
      </c>
      <c r="H6" s="30" t="s">
        <v>4</v>
      </c>
      <c r="I6" s="30" t="s">
        <v>4</v>
      </c>
      <c r="J6" s="23"/>
      <c r="K6" s="23"/>
      <c r="L6" s="23"/>
    </row>
    <row r="7" spans="1:12" x14ac:dyDescent="0.25">
      <c r="A7" s="14" t="s">
        <v>93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x14ac:dyDescent="0.25">
      <c r="A8" s="14" t="s">
        <v>36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x14ac:dyDescent="0.25">
      <c r="A9" s="1" t="s">
        <v>5</v>
      </c>
      <c r="B9" s="20">
        <v>156033343.53</v>
      </c>
      <c r="C9" s="20">
        <f>[1]FY25!J7</f>
        <v>140662009.75999999</v>
      </c>
      <c r="D9" s="20">
        <f>B9-C9</f>
        <v>15371333.770000011</v>
      </c>
      <c r="E9" s="31">
        <f>D9/C9</f>
        <v>0.1092785023918459</v>
      </c>
      <c r="F9" s="32">
        <f>'[1]REV PED 1'!F9+'[1]REV PED 2'!B9+'[1]REV PED 3'!B9+'[1]REV PED 4'!B9+'[1]REV PED 5'!B9+'[1]REV PED 6'!B9+'[1]REV PED 7'!B9+'[1]REV PED 8'!B9</f>
        <v>1272625720.9400001</v>
      </c>
      <c r="G9" s="32">
        <f>[1]FY25!C7+[1]FY25!D7+[1]FY25!E7+[1]FY25!F7+[1]FY25!G7+[1]FY25!H7+[1]FY25!I7+[1]FY25!J7</f>
        <v>1097463342.1999998</v>
      </c>
      <c r="H9" s="32">
        <f>F9-G9</f>
        <v>175162378.74000025</v>
      </c>
      <c r="I9" s="31">
        <f>H9/G9</f>
        <v>0.15960658730419713</v>
      </c>
      <c r="J9" s="23"/>
      <c r="K9" s="23"/>
      <c r="L9" s="23"/>
    </row>
    <row r="10" spans="1:12" x14ac:dyDescent="0.25">
      <c r="A10" s="1" t="s">
        <v>6</v>
      </c>
      <c r="B10" s="20">
        <v>193743732.28</v>
      </c>
      <c r="C10" s="20">
        <f>[1]FY25!J8</f>
        <v>176566578.33000001</v>
      </c>
      <c r="D10" s="20">
        <f t="shared" ref="D10:D13" si="0">B10-C10</f>
        <v>17177153.949999988</v>
      </c>
      <c r="E10" s="31">
        <f t="shared" ref="E10:E12" si="1">D10/C10</f>
        <v>9.7284288524276494E-2</v>
      </c>
      <c r="F10" s="32">
        <f>'[1]REV PED 1'!F10+'[1]REV PED 2'!B10+'[1]REV PED 3'!B10+'[1]REV PED 4'!B10+'[1]REV PED 5'!B10+'[1]REV PED 6'!B10+'[1]REV PED 7'!B10+'[1]REV PED 8'!B10</f>
        <v>1591249090.7</v>
      </c>
      <c r="G10" s="32">
        <f>[1]FY25!C8+[1]FY25!D8+[1]FY25!E8+[1]FY25!F8+[1]FY25!G8+[1]FY25!H8+[1]FY25!I8+[1]FY25!J8</f>
        <v>1395807312.2799997</v>
      </c>
      <c r="H10" s="32">
        <f t="shared" ref="H10:H13" si="2">F10-G10</f>
        <v>195441778.42000031</v>
      </c>
      <c r="I10" s="31">
        <f t="shared" ref="I10:I13" si="3">H10/G10</f>
        <v>0.14002060076670136</v>
      </c>
      <c r="J10" s="23"/>
      <c r="K10" s="23"/>
      <c r="L10" s="23"/>
    </row>
    <row r="11" spans="1:12" x14ac:dyDescent="0.25">
      <c r="A11" s="1" t="s">
        <v>7</v>
      </c>
      <c r="B11" s="20">
        <v>36060652.719999999</v>
      </c>
      <c r="C11" s="20">
        <f>[1]FY25!J9</f>
        <v>33783307.700000003</v>
      </c>
      <c r="D11" s="20">
        <f t="shared" si="0"/>
        <v>2277345.0199999958</v>
      </c>
      <c r="E11" s="31">
        <f t="shared" si="1"/>
        <v>6.7410362544221669E-2</v>
      </c>
      <c r="F11" s="32">
        <f>'[1]REV PED 1'!F11+'[1]REV PED 2'!B11+'[1]REV PED 3'!B11+'[1]REV PED 4'!B11+'[1]REV PED 5'!B11+'[1]REV PED 6'!B11+'[1]REV PED 7'!B11+'[1]REV PED 8'!B11</f>
        <v>301993527.75</v>
      </c>
      <c r="G11" s="32">
        <f>[1]FY25!C9+[1]FY25!D9+[1]FY25!E9+[1]FY25!F9+[1]FY25!G9+[1]FY25!H9+[1]FY25!I9+[1]FY25!J9</f>
        <v>268117432.76000005</v>
      </c>
      <c r="H11" s="32">
        <f t="shared" si="2"/>
        <v>33876094.98999995</v>
      </c>
      <c r="I11" s="31">
        <f t="shared" si="3"/>
        <v>0.12634797611359891</v>
      </c>
      <c r="J11" s="23"/>
      <c r="K11" s="23"/>
      <c r="L11" s="23"/>
    </row>
    <row r="12" spans="1:12" x14ac:dyDescent="0.25">
      <c r="A12" s="1" t="s">
        <v>8</v>
      </c>
      <c r="B12" s="20">
        <v>126202600.91</v>
      </c>
      <c r="C12" s="20">
        <f>[1]FY25!J10</f>
        <v>118216079.67</v>
      </c>
      <c r="D12" s="20">
        <f t="shared" si="0"/>
        <v>7986521.2399999946</v>
      </c>
      <c r="E12" s="31">
        <f t="shared" si="1"/>
        <v>6.755867105637707E-2</v>
      </c>
      <c r="F12" s="32">
        <f>'[1]REV PED 1'!F12+'[1]REV PED 2'!B12+'[1]REV PED 3'!B12+'[1]REV PED 4'!B12+'[1]REV PED 5'!B12+'[1]REV PED 6'!B12+'[1]REV PED 7'!B12+'[1]REV PED 8'!B12</f>
        <v>1056918240.7299999</v>
      </c>
      <c r="G12" s="32">
        <f>[1]FY25!C10+[1]FY25!D10+[1]FY25!E10+[1]FY25!F10+[1]FY25!G10+[1]FY25!H10+[1]FY25!I10+[1]FY25!J10</f>
        <v>938184008.56000006</v>
      </c>
      <c r="H12" s="32">
        <f t="shared" si="2"/>
        <v>118734232.16999984</v>
      </c>
      <c r="I12" s="31">
        <f t="shared" si="3"/>
        <v>0.1265575101330523</v>
      </c>
      <c r="J12" s="23"/>
      <c r="K12" s="23"/>
      <c r="L12" s="23"/>
    </row>
    <row r="13" spans="1:12" x14ac:dyDescent="0.25">
      <c r="A13" s="1" t="s">
        <v>9</v>
      </c>
      <c r="B13" s="20">
        <v>99599362.829999998</v>
      </c>
      <c r="C13" s="20">
        <f>[1]FY25!J11</f>
        <v>94044441.209999993</v>
      </c>
      <c r="D13" s="20">
        <f t="shared" si="0"/>
        <v>5554921.6200000048</v>
      </c>
      <c r="E13" s="31">
        <f>D13/C13</f>
        <v>5.9066985230907358E-2</v>
      </c>
      <c r="F13" s="32">
        <f>'[1]REV PED 1'!F13+'[1]REV PED 2'!B13+'[1]REV PED 3'!B13+'[1]REV PED 4'!B13+'[1]REV PED 5'!B13+'[1]REV PED 6'!B13+'[1]REV PED 7'!B13+'[1]REV PED 8'!B13</f>
        <v>827173901.48000014</v>
      </c>
      <c r="G13" s="32">
        <f>[1]FY25!C11+[1]FY25!D11+[1]FY25!E11+[1]FY25!F11+[1]FY25!G11+[1]FY25!H11+[1]FY25!I11+[1]FY25!J11</f>
        <v>742607012.19000018</v>
      </c>
      <c r="H13" s="32">
        <f t="shared" si="2"/>
        <v>84566889.289999962</v>
      </c>
      <c r="I13" s="31">
        <f t="shared" si="3"/>
        <v>0.11387838776340971</v>
      </c>
      <c r="J13" s="23"/>
      <c r="K13" s="23"/>
      <c r="L13" s="23"/>
    </row>
    <row r="14" spans="1:12" x14ac:dyDescent="0.25">
      <c r="A14" s="23"/>
      <c r="B14" s="29" t="s">
        <v>4</v>
      </c>
      <c r="C14" s="29" t="s">
        <v>4</v>
      </c>
      <c r="D14" s="29" t="s">
        <v>4</v>
      </c>
      <c r="E14" s="30" t="s">
        <v>4</v>
      </c>
      <c r="F14" s="30" t="s">
        <v>4</v>
      </c>
      <c r="G14" s="30" t="s">
        <v>4</v>
      </c>
      <c r="H14" s="30" t="s">
        <v>4</v>
      </c>
      <c r="I14" s="30" t="s">
        <v>4</v>
      </c>
      <c r="J14" s="23"/>
      <c r="K14" s="23"/>
      <c r="L14" s="23"/>
    </row>
    <row r="15" spans="1:12" x14ac:dyDescent="0.25">
      <c r="A15" s="18" t="s">
        <v>10</v>
      </c>
      <c r="B15" s="33">
        <f>SUM(B9:B13)</f>
        <v>611639692.26999998</v>
      </c>
      <c r="C15" s="33">
        <f>SUM(C9:C13)</f>
        <v>563272416.67000008</v>
      </c>
      <c r="D15" s="33">
        <f>SUM(D9:D13)</f>
        <v>48367275.599999994</v>
      </c>
      <c r="E15" s="34">
        <f>D15/C15</f>
        <v>8.5868354580438372E-2</v>
      </c>
      <c r="F15" s="35">
        <f>SUM(F9:F13)</f>
        <v>5049960481.6000004</v>
      </c>
      <c r="G15" s="35">
        <f>SUM(G9:G13)</f>
        <v>4442179107.9899998</v>
      </c>
      <c r="H15" s="35">
        <f>SUM(H9:H13)</f>
        <v>607781373.61000037</v>
      </c>
      <c r="I15" s="34">
        <f>H15/G15</f>
        <v>0.13682054659092971</v>
      </c>
      <c r="J15" s="18"/>
      <c r="K15" s="23"/>
      <c r="L15" s="23"/>
    </row>
    <row r="16" spans="1:12" x14ac:dyDescent="0.25">
      <c r="A16" s="23"/>
      <c r="B16" s="20"/>
      <c r="C16" s="20"/>
      <c r="D16" s="23"/>
      <c r="E16" s="31"/>
      <c r="F16" s="23"/>
      <c r="G16" s="23"/>
      <c r="H16" s="23"/>
      <c r="I16" s="23"/>
      <c r="J16" s="23"/>
      <c r="K16" s="23"/>
      <c r="L16" s="23"/>
    </row>
    <row r="17" spans="1:12" x14ac:dyDescent="0.25">
      <c r="A17" s="1" t="s">
        <v>11</v>
      </c>
      <c r="B17" s="20"/>
      <c r="C17" s="20">
        <f>[1]FY25!J15</f>
        <v>0</v>
      </c>
      <c r="D17" s="20">
        <f>B17-C17</f>
        <v>0</v>
      </c>
      <c r="E17" s="31">
        <f t="shared" ref="E17:E18" si="4">IF(C17=0,0,D17/C17)</f>
        <v>0</v>
      </c>
      <c r="F17" s="32">
        <f>'[1]REV PED 3'!F17+'[1]REV PED 6'!B17+B17</f>
        <v>65761.53</v>
      </c>
      <c r="G17" s="32">
        <f>[1]FY25!C15+[1]FY25!D15+[1]FY25!E15+[1]FY25!F15+[1]FY25!G15+[1]FY25!H15+[1]FY25!I15+[1]FY25!J15</f>
        <v>145751.43</v>
      </c>
      <c r="H17" s="32">
        <f>F17-G17</f>
        <v>-79989.899999999994</v>
      </c>
      <c r="I17" s="31">
        <f>H17/G17</f>
        <v>-0.54881039589114156</v>
      </c>
      <c r="J17" s="23"/>
      <c r="K17" s="23"/>
      <c r="L17" s="23"/>
    </row>
    <row r="18" spans="1:12" x14ac:dyDescent="0.25">
      <c r="A18" s="18" t="s">
        <v>12</v>
      </c>
      <c r="B18" s="20"/>
      <c r="C18" s="20">
        <f>[1]FY25!J16</f>
        <v>0</v>
      </c>
      <c r="D18" s="20">
        <f>B18-C18</f>
        <v>0</v>
      </c>
      <c r="E18" s="31">
        <f t="shared" si="4"/>
        <v>0</v>
      </c>
      <c r="F18" s="32">
        <f>'[1]REV PED 3'!F18+'[1]REV PED 6'!B18+B18</f>
        <v>356748501.92000002</v>
      </c>
      <c r="G18" s="32">
        <f>[1]FY25!C16+[1]FY25!D16+[1]FY25!E16+[1]FY25!F16+[1]FY25!G16+[1]FY25!H16+[1]FY25!I16+[1]FY25!J16</f>
        <v>356175752.69999999</v>
      </c>
      <c r="H18" s="32">
        <f>F18-G18</f>
        <v>572749.22000002861</v>
      </c>
      <c r="I18" s="31">
        <f>H18/G18</f>
        <v>1.6080522485269913E-3</v>
      </c>
      <c r="J18" s="23"/>
      <c r="K18" s="23"/>
      <c r="L18" s="23"/>
    </row>
    <row r="19" spans="1:12" x14ac:dyDescent="0.25">
      <c r="A19" s="23"/>
      <c r="B19" s="29" t="s">
        <v>4</v>
      </c>
      <c r="C19" s="29" t="s">
        <v>4</v>
      </c>
      <c r="D19" s="29" t="s">
        <v>4</v>
      </c>
      <c r="E19" s="30" t="s">
        <v>4</v>
      </c>
      <c r="F19" s="30" t="s">
        <v>4</v>
      </c>
      <c r="G19" s="30" t="s">
        <v>4</v>
      </c>
      <c r="H19" s="30" t="s">
        <v>4</v>
      </c>
      <c r="I19" s="30" t="s">
        <v>4</v>
      </c>
      <c r="J19" s="23"/>
      <c r="K19" s="23"/>
      <c r="L19" s="23"/>
    </row>
    <row r="20" spans="1:12" x14ac:dyDescent="0.25">
      <c r="A20" s="18" t="s">
        <v>13</v>
      </c>
      <c r="B20" s="20">
        <f>SUM(B15:B18)</f>
        <v>611639692.26999998</v>
      </c>
      <c r="C20" s="20">
        <f t="shared" ref="C20:H20" si="5">SUM(C15:C18)</f>
        <v>563272416.67000008</v>
      </c>
      <c r="D20" s="20">
        <f t="shared" si="5"/>
        <v>48367275.599999994</v>
      </c>
      <c r="E20" s="31">
        <f>D20/C20</f>
        <v>8.5868354580438372E-2</v>
      </c>
      <c r="F20" s="20">
        <f t="shared" si="5"/>
        <v>5406774745.0500002</v>
      </c>
      <c r="G20" s="20">
        <f t="shared" si="5"/>
        <v>4798500612.1199999</v>
      </c>
      <c r="H20" s="20">
        <f t="shared" si="5"/>
        <v>608274132.93000042</v>
      </c>
      <c r="I20" s="31">
        <f>H20/G20</f>
        <v>0.12676337508296412</v>
      </c>
      <c r="J20" s="23"/>
      <c r="K20" s="23"/>
      <c r="L20" s="23"/>
    </row>
    <row r="21" spans="1:12" x14ac:dyDescent="0.25">
      <c r="A21" s="18"/>
      <c r="B21" s="20"/>
      <c r="C21" s="20"/>
      <c r="D21" s="20"/>
      <c r="E21" s="31"/>
      <c r="F21" s="32"/>
      <c r="G21" s="32"/>
      <c r="H21" s="32"/>
      <c r="I21" s="31"/>
      <c r="J21" s="23"/>
      <c r="K21" s="23"/>
      <c r="L21" s="23"/>
    </row>
    <row r="22" spans="1:12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x14ac:dyDescent="0.25">
      <c r="A23" s="14" t="s">
        <v>92</v>
      </c>
      <c r="B23" s="20"/>
      <c r="C23" s="20"/>
      <c r="D23" s="20"/>
      <c r="E23" s="31"/>
      <c r="F23" s="32"/>
      <c r="G23" s="32"/>
      <c r="H23" s="32"/>
      <c r="I23" s="31"/>
      <c r="J23" s="23"/>
      <c r="K23" s="23"/>
      <c r="L23" s="23"/>
    </row>
    <row r="24" spans="1:12" x14ac:dyDescent="0.25">
      <c r="A24" s="36" t="s">
        <v>37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x14ac:dyDescent="0.25">
      <c r="A25" s="18" t="s">
        <v>16</v>
      </c>
      <c r="B25" s="20">
        <f>34727.58+8615657.1+506803.36</f>
        <v>9157188.0399999991</v>
      </c>
      <c r="C25" s="20">
        <f>[1]FY25!J22</f>
        <v>8894537.5</v>
      </c>
      <c r="D25" s="20">
        <f>B25-C25</f>
        <v>262650.53999999911</v>
      </c>
      <c r="E25" s="31">
        <f>D25/C25</f>
        <v>2.9529420725922972E-2</v>
      </c>
      <c r="F25" s="32">
        <f>'[1]REV PED 1'!B25+'[1]REV PED 2'!B25+'[1]REV PED 3'!B25+'[1]REV PED 4'!B25+'[1]REV PED 5'!B25+'[1]REV PED 6'!B25+'[1]REV PED 7'!B25+B25</f>
        <v>65366685.800000004</v>
      </c>
      <c r="G25" s="32">
        <f>[1]FY25!C22+[1]FY25!D22+[1]FY25!E22+[1]FY25!F22+[1]FY25!G22+[1]FY25!H22+[1]FY25!I22+[1]FY25!J22</f>
        <v>80724984.080000013</v>
      </c>
      <c r="H25" s="32">
        <f>F25-G25</f>
        <v>-15358298.280000009</v>
      </c>
      <c r="I25" s="31">
        <f>H25/G25</f>
        <v>-0.19025458419142752</v>
      </c>
      <c r="J25" s="23"/>
      <c r="K25" s="23"/>
      <c r="L25" s="23"/>
    </row>
    <row r="26" spans="1:12" x14ac:dyDescent="0.25">
      <c r="A26" s="18" t="s">
        <v>17</v>
      </c>
      <c r="B26" s="20">
        <v>4756567.17</v>
      </c>
      <c r="C26" s="20">
        <f>[1]FY25!J23</f>
        <v>2873335.61</v>
      </c>
      <c r="D26" s="20">
        <f t="shared" ref="D26:D34" si="6">B26-C26</f>
        <v>1883231.56</v>
      </c>
      <c r="E26" s="31">
        <f t="shared" ref="E26:E31" si="7">D26/C26</f>
        <v>0.65541649692637194</v>
      </c>
      <c r="F26" s="32">
        <f>'[1]REV PED 1'!B26+'[1]REV PED 2'!B26+'[1]REV PED 3'!B26+'[1]REV PED 4'!B26+'[1]REV PED 5'!B26+'[1]REV PED 6'!B26+'[1]REV PED 7'!B26+B26</f>
        <v>26523563.640000001</v>
      </c>
      <c r="G26" s="32">
        <f>[1]FY25!C23+[1]FY25!D23+[1]FY25!E23+[1]FY25!F23+[1]FY25!G23+[1]FY25!H23+[1]FY25!I23+[1]FY25!J23</f>
        <v>18542608.75</v>
      </c>
      <c r="H26" s="32">
        <f t="shared" ref="H26:H34" si="8">F26-G26</f>
        <v>7980954.8900000006</v>
      </c>
      <c r="I26" s="31">
        <f t="shared" ref="I26:I31" si="9">H26/G26</f>
        <v>0.4304116533764431</v>
      </c>
      <c r="J26" s="23"/>
      <c r="K26" s="23"/>
      <c r="L26" s="23"/>
    </row>
    <row r="27" spans="1:12" x14ac:dyDescent="0.25">
      <c r="A27" s="18" t="s">
        <v>18</v>
      </c>
      <c r="B27" s="20">
        <f>3374648.07+293703.59+87976.76</f>
        <v>3756328.4199999995</v>
      </c>
      <c r="C27" s="20">
        <f>[1]FY25!J24</f>
        <v>5002331.49</v>
      </c>
      <c r="D27" s="20">
        <f t="shared" si="6"/>
        <v>-1246003.0700000008</v>
      </c>
      <c r="E27" s="31">
        <f t="shared" si="7"/>
        <v>-0.24908446641148141</v>
      </c>
      <c r="F27" s="32">
        <f>'[1]REV PED 1'!B27+'[1]REV PED 2'!B27+'[1]REV PED 3'!B27+'[1]REV PED 4'!B27+'[1]REV PED 5'!B27+'[1]REV PED 6'!B27+'[1]REV PED 7'!B27+B27</f>
        <v>34541984.880000003</v>
      </c>
      <c r="G27" s="32">
        <f>[1]FY25!C24+[1]FY25!D24+[1]FY25!E24+[1]FY25!F24+[1]FY25!G24+[1]FY25!H24+[1]FY25!I24+[1]FY25!J24</f>
        <v>29279374.43</v>
      </c>
      <c r="H27" s="32">
        <f t="shared" si="8"/>
        <v>5262610.450000003</v>
      </c>
      <c r="I27" s="31">
        <f t="shared" si="9"/>
        <v>0.17973780357164559</v>
      </c>
      <c r="J27" s="23"/>
      <c r="K27" s="23"/>
      <c r="L27" s="23"/>
    </row>
    <row r="28" spans="1:12" x14ac:dyDescent="0.25">
      <c r="A28" s="18" t="s">
        <v>19</v>
      </c>
      <c r="B28" s="20">
        <v>0</v>
      </c>
      <c r="C28" s="20">
        <f>[1]FY25!J25</f>
        <v>0</v>
      </c>
      <c r="D28" s="20">
        <f t="shared" si="6"/>
        <v>0</v>
      </c>
      <c r="E28" s="31">
        <f t="shared" ref="E28:E34" si="10">IF(C28=0,0,D28/C28)</f>
        <v>0</v>
      </c>
      <c r="F28" s="32">
        <f>'[1]REV PED 1'!B28+'[1]REV PED 2'!B28+'[1]REV PED 3'!B28+'[1]REV PED 4'!B28+'[1]REV PED 5'!B28+'[1]REV PED 6'!B28+'[1]REV PED 7'!B28+B28</f>
        <v>330025136.37</v>
      </c>
      <c r="G28" s="32">
        <f>[1]FY25!C25+[1]FY25!D25+[1]FY25!E25+[1]FY25!F25+[1]FY25!G25+[1]FY25!H25+[1]FY25!I25+[1]FY25!J25</f>
        <v>308831953.99000001</v>
      </c>
      <c r="H28" s="32">
        <f t="shared" si="8"/>
        <v>21193182.379999995</v>
      </c>
      <c r="I28" s="31">
        <f>H28/G28</f>
        <v>6.862367091938365E-2</v>
      </c>
      <c r="J28" s="23"/>
      <c r="K28" s="23"/>
      <c r="L28" s="23"/>
    </row>
    <row r="29" spans="1:12" x14ac:dyDescent="0.25">
      <c r="A29" s="18" t="s">
        <v>20</v>
      </c>
      <c r="B29" s="20">
        <f>165593.66-42.41</f>
        <v>165551.25</v>
      </c>
      <c r="C29" s="20">
        <f>[1]FY25!J26</f>
        <v>174432.09</v>
      </c>
      <c r="D29" s="20">
        <f t="shared" si="6"/>
        <v>-8880.8399999999965</v>
      </c>
      <c r="E29" s="31">
        <f t="shared" si="7"/>
        <v>-5.0912879619799296E-2</v>
      </c>
      <c r="F29" s="32">
        <f>'[1]REV PED 1'!B29+'[1]REV PED 2'!B29+'[1]REV PED 3'!B29+'[1]REV PED 4'!B29+'[1]REV PED 5'!B29+'[1]REV PED 6'!B29+'[1]REV PED 7'!B29+B29</f>
        <v>1484956.03</v>
      </c>
      <c r="G29" s="32">
        <f>[1]FY25!C26+[1]FY25!D26+[1]FY25!E26+[1]FY25!F26+[1]FY25!G26+[1]FY25!H26+[1]FY25!I26+[1]FY25!J26</f>
        <v>1511694.34</v>
      </c>
      <c r="H29" s="32">
        <f t="shared" si="8"/>
        <v>-26738.310000000056</v>
      </c>
      <c r="I29" s="31">
        <f t="shared" si="9"/>
        <v>-1.7687643124998442E-2</v>
      </c>
      <c r="J29" s="23"/>
      <c r="K29" s="23"/>
      <c r="L29" s="23"/>
    </row>
    <row r="30" spans="1:12" x14ac:dyDescent="0.25">
      <c r="A30" s="18" t="s">
        <v>38</v>
      </c>
      <c r="B30" s="20">
        <v>0</v>
      </c>
      <c r="C30" s="20">
        <f>[1]FY25!J27</f>
        <v>0</v>
      </c>
      <c r="D30" s="20">
        <f t="shared" si="6"/>
        <v>0</v>
      </c>
      <c r="E30" s="31">
        <f t="shared" si="10"/>
        <v>0</v>
      </c>
      <c r="F30" s="32">
        <f>'[1]REV PED 1'!B30+'[1]REV PED 2'!B30+'[1]REV PED 3'!B30+'[1]REV PED 4'!B30+'[1]REV PED 5'!B30+'[1]REV PED 6'!B30+'[1]REV PED 7'!B30+B30</f>
        <v>38748733.170000002</v>
      </c>
      <c r="G30" s="32">
        <f>[1]FY25!C27+[1]FY25!D27+[1]FY25!E27+[1]FY25!F27+[1]FY25!G27+[1]FY25!H27+[1]FY25!I27+[1]FY25!J27</f>
        <v>40492621.490000002</v>
      </c>
      <c r="H30" s="32">
        <f t="shared" si="8"/>
        <v>-1743888.3200000003</v>
      </c>
      <c r="I30" s="31">
        <f>H30/G30</f>
        <v>-4.3066817010863775E-2</v>
      </c>
      <c r="J30" s="23"/>
      <c r="K30" s="23"/>
      <c r="L30" s="23"/>
    </row>
    <row r="31" spans="1:12" x14ac:dyDescent="0.25">
      <c r="A31" s="18" t="s">
        <v>22</v>
      </c>
      <c r="B31" s="20">
        <v>7870040.4400000004</v>
      </c>
      <c r="C31" s="20">
        <f>[1]FY25!J28</f>
        <v>9951654.8800000008</v>
      </c>
      <c r="D31" s="20">
        <f t="shared" si="6"/>
        <v>-2081614.4400000004</v>
      </c>
      <c r="E31" s="31">
        <f t="shared" si="7"/>
        <v>-0.20917269188900975</v>
      </c>
      <c r="F31" s="32">
        <f>'[1]REV PED 1'!B31+'[1]REV PED 2'!B31+'[1]REV PED 3'!B31+'[1]REV PED 4'!B31+'[1]REV PED 5'!B31+'[1]REV PED 6'!B31+'[1]REV PED 7'!B31+B31</f>
        <v>82295460.829999998</v>
      </c>
      <c r="G31" s="32">
        <f>[1]FY25!C28+[1]FY25!D28+[1]FY25!E28+[1]FY25!F28+[1]FY25!G28+[1]FY25!H28+[1]FY25!I28+[1]FY25!J28</f>
        <v>71364877.429999992</v>
      </c>
      <c r="H31" s="32">
        <f t="shared" si="8"/>
        <v>10930583.400000006</v>
      </c>
      <c r="I31" s="31">
        <f t="shared" si="9"/>
        <v>0.15316474705251948</v>
      </c>
      <c r="J31" s="23"/>
      <c r="K31" s="23"/>
      <c r="L31" s="23"/>
    </row>
    <row r="32" spans="1:12" x14ac:dyDescent="0.25">
      <c r="A32" s="18" t="s">
        <v>23</v>
      </c>
      <c r="B32" s="20">
        <v>0</v>
      </c>
      <c r="C32" s="20">
        <f>[1]FY25!J29</f>
        <v>0</v>
      </c>
      <c r="D32" s="20">
        <f t="shared" si="6"/>
        <v>0</v>
      </c>
      <c r="E32" s="31">
        <f t="shared" si="10"/>
        <v>0</v>
      </c>
      <c r="F32" s="32">
        <f>'[1]REV PED 1'!B32+'[1]REV PED 2'!B32+'[1]REV PED 3'!B32+'[1]REV PED 4'!B32+'[1]REV PED 5'!B32+'[1]REV PED 6'!B32+'[1]REV PED 7'!B32+B32</f>
        <v>761748.75</v>
      </c>
      <c r="G32" s="32">
        <f>[1]FY25!C29+[1]FY25!D29+[1]FY25!E29+[1]FY25!F29+[1]FY25!G29+[1]FY25!H29+[1]FY25!I29+[1]FY25!J29</f>
        <v>934255</v>
      </c>
      <c r="H32" s="32">
        <f t="shared" si="8"/>
        <v>-172506.25</v>
      </c>
      <c r="I32" s="31">
        <f>H32/G32</f>
        <v>-0.18464578728505601</v>
      </c>
      <c r="J32" s="23"/>
      <c r="K32" s="23"/>
      <c r="L32" s="23"/>
    </row>
    <row r="33" spans="1:12" x14ac:dyDescent="0.25">
      <c r="A33" s="18" t="s">
        <v>49</v>
      </c>
      <c r="B33" s="20">
        <v>0</v>
      </c>
      <c r="C33" s="20">
        <f>[1]FY25!J30</f>
        <v>0</v>
      </c>
      <c r="D33" s="20">
        <f t="shared" si="6"/>
        <v>0</v>
      </c>
      <c r="E33" s="31">
        <f t="shared" si="10"/>
        <v>0</v>
      </c>
      <c r="F33" s="32">
        <f>'[1]REV PED 1'!B33+'[1]REV PED 2'!B33+'[1]REV PED 3'!B33+'[1]REV PED 4'!B33+'[1]REV PED 5'!B33+'[1]REV PED 6'!B33+'[1]REV PED 7'!B33+B33</f>
        <v>119356907.73999999</v>
      </c>
      <c r="G33" s="32">
        <f>[1]FY25!C30+[1]FY25!D30+[1]FY25!E30+[1]FY25!F30+[1]FY25!G30+[1]FY25!H30+[1]FY25!I30+[1]FY25!J30</f>
        <v>71511543.319999993</v>
      </c>
      <c r="H33" s="32">
        <f t="shared" si="8"/>
        <v>47845364.420000002</v>
      </c>
      <c r="I33" s="31">
        <f>H33/G33</f>
        <v>0.6690579198647898</v>
      </c>
      <c r="J33" s="23"/>
      <c r="K33" s="23"/>
      <c r="L33" s="23"/>
    </row>
    <row r="34" spans="1:12" x14ac:dyDescent="0.25">
      <c r="A34" s="18" t="s">
        <v>24</v>
      </c>
      <c r="B34" s="20">
        <v>0</v>
      </c>
      <c r="C34" s="20">
        <f>[1]FY25!J31</f>
        <v>0</v>
      </c>
      <c r="D34" s="20">
        <f t="shared" si="6"/>
        <v>0</v>
      </c>
      <c r="E34" s="31">
        <f t="shared" si="10"/>
        <v>0</v>
      </c>
      <c r="F34" s="32">
        <f>'[1]REV PED 1'!B34+'[1]REV PED 2'!B34+'[1]REV PED 3'!B34+'[1]REV PED 4'!B34+'[1]REV PED 5'!B34+'[1]REV PED 6'!B34+'[1]REV PED 7'!B34+B34</f>
        <v>60732643.849999994</v>
      </c>
      <c r="G34" s="32">
        <f>[1]FY25!C31+[1]FY25!D31+[1]FY25!E31+[1]FY25!F31+[1]FY25!G31+[1]FY25!H31+[1]FY25!I31+[1]FY25!J31</f>
        <v>63879183.18</v>
      </c>
      <c r="H34" s="32">
        <f t="shared" si="8"/>
        <v>-3146539.3300000057</v>
      </c>
      <c r="I34" s="31">
        <f>H34/G34</f>
        <v>-4.9257663817234891E-2</v>
      </c>
      <c r="J34" s="23"/>
      <c r="K34" s="23"/>
      <c r="L34" s="23"/>
    </row>
    <row r="35" spans="1:12" x14ac:dyDescent="0.25">
      <c r="A35" s="18" t="s">
        <v>25</v>
      </c>
      <c r="B35" s="21" t="s">
        <v>66</v>
      </c>
      <c r="C35" s="21" t="s">
        <v>66</v>
      </c>
      <c r="D35" s="21" t="s">
        <v>43</v>
      </c>
      <c r="E35" s="21" t="s">
        <v>42</v>
      </c>
      <c r="F35" s="21" t="s">
        <v>41</v>
      </c>
      <c r="G35" s="37" t="s">
        <v>67</v>
      </c>
      <c r="H35" s="21" t="s">
        <v>40</v>
      </c>
      <c r="I35" s="21" t="s">
        <v>39</v>
      </c>
      <c r="J35" s="23"/>
      <c r="K35" s="23"/>
      <c r="L35" s="23"/>
    </row>
    <row r="36" spans="1:12" x14ac:dyDescent="0.25">
      <c r="A36" s="18" t="s">
        <v>26</v>
      </c>
      <c r="B36" s="20">
        <f>46056.58+2454087.91</f>
        <v>2500144.4900000002</v>
      </c>
      <c r="C36" s="20">
        <f>[1]FY25!J33</f>
        <v>3875477.1999999997</v>
      </c>
      <c r="D36" s="20">
        <f>B36-C36</f>
        <v>-1375332.7099999995</v>
      </c>
      <c r="E36" s="31">
        <f>D36/C36</f>
        <v>-0.35488086731615903</v>
      </c>
      <c r="F36" s="32">
        <f>'[1]REV PED 1'!B36+'[1]REV PED 2'!B36+'[1]REV PED 3'!B36+'[1]REV PED 4'!B36+'[1]REV PED 5'!B36+'[1]REV PED 6'!B36+'[1]REV PED 7'!B36+'[1]REV PED 8'!B36</f>
        <v>19693069.219999999</v>
      </c>
      <c r="G36" s="32">
        <f>[1]FY25!C33+[1]FY25!D33+[1]FY25!E33+[1]FY25!F33+[1]FY25!G33+[1]FY25!H33+[1]FY25!I33+[1]FY25!J33</f>
        <v>21665818.139999997</v>
      </c>
      <c r="H36" s="32">
        <f>F36-G36</f>
        <v>-1972748.9199999981</v>
      </c>
      <c r="I36" s="31">
        <f>H36/G36</f>
        <v>-9.1053516061683257E-2</v>
      </c>
      <c r="J36" s="23"/>
      <c r="K36" s="23"/>
      <c r="L36" s="23"/>
    </row>
    <row r="37" spans="1:12" x14ac:dyDescent="0.25">
      <c r="A37" s="18" t="s">
        <v>27</v>
      </c>
      <c r="B37" s="20">
        <f>0+19380908.52+190207.56+2076520.85</f>
        <v>21647636.93</v>
      </c>
      <c r="C37" s="20">
        <f>[1]FY25!J34</f>
        <v>20901158.560000002</v>
      </c>
      <c r="D37" s="20">
        <f>B37-C37</f>
        <v>746478.36999999732</v>
      </c>
      <c r="E37" s="31">
        <f>D37/C37</f>
        <v>3.5714688631116591E-2</v>
      </c>
      <c r="F37" s="32">
        <f>'[1]REV PED 1'!B37+'[1]REV PED 2'!B37+'[1]REV PED 3'!B37+'[1]REV PED 4'!B37+'[1]REV PED 5'!B37+'[1]REV PED 6'!B37+'[1]REV PED 7'!B37+'[1]REV PED 8'!B37</f>
        <v>144342591.47999999</v>
      </c>
      <c r="G37" s="32">
        <f>[1]FY25!C34+[1]FY25!D34+[1]FY25!E34+[1]FY25!F34+[1]FY25!G34+[1]FY25!H34+[1]FY25!I34+[1]FY25!J34</f>
        <v>139928478.53000003</v>
      </c>
      <c r="H37" s="32">
        <f>F37-G37</f>
        <v>4414112.9499999583</v>
      </c>
      <c r="I37" s="31">
        <f>H37/G37</f>
        <v>3.15454937863388E-2</v>
      </c>
      <c r="J37" s="23"/>
      <c r="K37" s="23"/>
      <c r="L37" s="23"/>
    </row>
    <row r="38" spans="1:12" x14ac:dyDescent="0.25">
      <c r="A38" s="18" t="s">
        <v>44</v>
      </c>
      <c r="B38" s="20">
        <f>2894357.56-25</f>
        <v>2894332.56</v>
      </c>
      <c r="C38" s="20">
        <f>[1]FY25!J35</f>
        <v>3301088.49</v>
      </c>
      <c r="D38" s="20">
        <f>B38-C38</f>
        <v>-406755.93000000017</v>
      </c>
      <c r="E38" s="31">
        <f>D38/C38</f>
        <v>-0.12321872958940285</v>
      </c>
      <c r="F38" s="32">
        <f>'[1]REV PED 1'!B38+'[1]REV PED 2'!B38+'[1]REV PED 3'!B38+'[1]REV PED 4'!B38+'[1]REV PED 5'!B38+'[1]REV PED 6'!B38+'[1]REV PED 7'!B38+'[1]REV PED 8'!B38</f>
        <v>29092261.02</v>
      </c>
      <c r="G38" s="32">
        <f>[1]FY25!C35+[1]FY25!D35+[1]FY25!E35+[1]FY25!F35+[1]FY25!G35+[1]FY25!H35+[1]FY25!I35+[1]FY25!J35</f>
        <v>29835250.450000003</v>
      </c>
      <c r="H38" s="32">
        <f>F38-G38</f>
        <v>-742989.43000000343</v>
      </c>
      <c r="I38" s="31">
        <f>H38/G38</f>
        <v>-2.4903073337532628E-2</v>
      </c>
      <c r="J38" s="23"/>
      <c r="K38" s="23"/>
      <c r="L38" s="23"/>
    </row>
    <row r="39" spans="1:12" x14ac:dyDescent="0.25">
      <c r="A39" s="18" t="s">
        <v>45</v>
      </c>
      <c r="B39" s="20">
        <v>3415293.4</v>
      </c>
      <c r="C39" s="20">
        <f>[1]FY25!J36</f>
        <v>1041330.37</v>
      </c>
      <c r="D39" s="20">
        <f>B39-C39</f>
        <v>2373963.0299999998</v>
      </c>
      <c r="E39" s="31">
        <f>D39/C39</f>
        <v>2.27974051116938</v>
      </c>
      <c r="F39" s="32">
        <f>'[1]REV PED 1'!B39+'[1]REV PED 2'!B39+'[1]REV PED 3'!B39+'[1]REV PED 4'!B39+'[1]REV PED 5'!B39+'[1]REV PED 6'!B39+'[1]REV PED 7'!B39+'[1]REV PED 8'!B39</f>
        <v>107990799.7</v>
      </c>
      <c r="G39" s="32">
        <f>[1]FY25!C36+[1]FY25!D36+[1]FY25!E36+[1]FY25!F36+[1]FY25!G36+[1]FY25!H36+[1]FY25!I36+[1]FY25!J36</f>
        <v>21614128.75</v>
      </c>
      <c r="H39" s="32">
        <f t="shared" ref="H39:H41" si="11">F39-G39</f>
        <v>86376670.950000003</v>
      </c>
      <c r="I39" s="31">
        <f>H39/G39</f>
        <v>3.9963059325257331</v>
      </c>
      <c r="J39" s="23"/>
      <c r="K39" s="23"/>
      <c r="L39" s="23"/>
    </row>
    <row r="40" spans="1:12" x14ac:dyDescent="0.25">
      <c r="A40" s="18" t="s">
        <v>46</v>
      </c>
      <c r="B40" s="20">
        <v>5413905.3499999996</v>
      </c>
      <c r="C40" s="20">
        <f>[1]FY25!J37</f>
        <v>4736250.62</v>
      </c>
      <c r="D40" s="20">
        <f t="shared" ref="D40:D41" si="12">B40-C40</f>
        <v>677654.72999999952</v>
      </c>
      <c r="E40" s="31">
        <f t="shared" ref="E40:E41" si="13">D40/C40</f>
        <v>0.14307830906127167</v>
      </c>
      <c r="F40" s="32">
        <f>'[1]REV PED 1'!B40+'[1]REV PED 2'!B40+'[1]REV PED 3'!B40+'[1]REV PED 4'!B40+'[1]REV PED 5'!B40+'[1]REV PED 6'!B40+'[1]REV PED 7'!B40+'[1]REV PED 8'!B40</f>
        <v>45881356.760000005</v>
      </c>
      <c r="G40" s="32">
        <f>[1]FY25!C37+[1]FY25!D37+[1]FY25!E37+[1]FY25!F37+[1]FY25!G37+[1]FY25!H37+[1]FY25!I37+[1]FY25!J37</f>
        <v>48222341.140000001</v>
      </c>
      <c r="H40" s="32">
        <f t="shared" si="11"/>
        <v>-2340984.3799999952</v>
      </c>
      <c r="I40" s="31">
        <f t="shared" ref="I40:I41" si="14">H40/G40</f>
        <v>-4.8545639316921706E-2</v>
      </c>
      <c r="J40" s="23"/>
      <c r="K40" s="23"/>
      <c r="L40" s="23"/>
    </row>
    <row r="41" spans="1:12" x14ac:dyDescent="0.25">
      <c r="A41" s="18" t="s">
        <v>47</v>
      </c>
      <c r="B41" s="20">
        <f>2828186.19-75</f>
        <v>2828111.19</v>
      </c>
      <c r="C41" s="20">
        <f>[1]FY25!J38</f>
        <v>2439376.62</v>
      </c>
      <c r="D41" s="20">
        <f t="shared" si="12"/>
        <v>388734.56999999983</v>
      </c>
      <c r="E41" s="31">
        <f t="shared" si="13"/>
        <v>0.15935816011879289</v>
      </c>
      <c r="F41" s="32">
        <f>'[1]REV PED 1'!B41+'[1]REV PED 2'!B41+'[1]REV PED 3'!B41+'[1]REV PED 4'!B41+'[1]REV PED 5'!B41+'[1]REV PED 6'!B41+'[1]REV PED 7'!B41+'[1]REV PED 8'!B41</f>
        <v>22186005.710000001</v>
      </c>
      <c r="G41" s="32">
        <f>[1]FY25!C38+[1]FY25!D38+[1]FY25!E38+[1]FY25!F38+[1]FY25!G38+[1]FY25!H38+[1]FY25!I38+[1]FY25!J38</f>
        <v>23464025.150000002</v>
      </c>
      <c r="H41" s="32">
        <f t="shared" si="11"/>
        <v>-1278019.4400000013</v>
      </c>
      <c r="I41" s="31">
        <f t="shared" si="14"/>
        <v>-5.4467186760580218E-2</v>
      </c>
      <c r="J41" s="23"/>
      <c r="K41" s="23"/>
      <c r="L41" s="23"/>
    </row>
    <row r="42" spans="1:12" x14ac:dyDescent="0.25">
      <c r="A42" s="23"/>
      <c r="B42" s="20"/>
      <c r="C42" s="23"/>
      <c r="D42" s="20"/>
      <c r="E42" s="31"/>
      <c r="F42" s="32"/>
      <c r="G42" s="32"/>
      <c r="H42" s="32"/>
      <c r="I42" s="31"/>
      <c r="J42" s="23"/>
      <c r="K42" s="23"/>
      <c r="L42" s="23"/>
    </row>
    <row r="43" spans="1:12" x14ac:dyDescent="0.25">
      <c r="A43" s="18" t="s">
        <v>28</v>
      </c>
      <c r="B43" s="29" t="s">
        <v>4</v>
      </c>
      <c r="C43" s="29" t="s">
        <v>4</v>
      </c>
      <c r="D43" s="29" t="s">
        <v>4</v>
      </c>
      <c r="E43" s="30" t="s">
        <v>4</v>
      </c>
      <c r="F43" s="30" t="s">
        <v>4</v>
      </c>
      <c r="G43" s="30" t="s">
        <v>4</v>
      </c>
      <c r="H43" s="30" t="s">
        <v>4</v>
      </c>
      <c r="I43" s="30" t="s">
        <v>4</v>
      </c>
      <c r="J43" s="23"/>
      <c r="K43" s="23"/>
      <c r="L43" s="23"/>
    </row>
    <row r="44" spans="1:12" x14ac:dyDescent="0.25">
      <c r="A44" s="23"/>
      <c r="B44" s="20">
        <f>SUM(B25:B41)</f>
        <v>64405099.240000002</v>
      </c>
      <c r="C44" s="20">
        <f t="shared" ref="C44:H44" si="15">SUM(C25:C41)</f>
        <v>63190973.429999992</v>
      </c>
      <c r="D44" s="20">
        <f t="shared" si="15"/>
        <v>1214125.8099999949</v>
      </c>
      <c r="E44" s="31">
        <f>D44/C44</f>
        <v>1.9213595614964642E-2</v>
      </c>
      <c r="F44" s="20">
        <f t="shared" si="15"/>
        <v>1129023904.9500003</v>
      </c>
      <c r="G44" s="20">
        <f t="shared" si="15"/>
        <v>971803138.16999984</v>
      </c>
      <c r="H44" s="20">
        <f t="shared" si="15"/>
        <v>157220766.77999994</v>
      </c>
      <c r="I44" s="31">
        <f>H44/G44</f>
        <v>0.16178252632118681</v>
      </c>
      <c r="J44" s="23"/>
      <c r="K44" s="23"/>
      <c r="L44" s="23"/>
    </row>
    <row r="45" spans="1:12" x14ac:dyDescent="0.25">
      <c r="A45" s="39" t="s">
        <v>29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8" spans="1:12" x14ac:dyDescent="0.25">
      <c r="A48" s="23"/>
      <c r="B48" s="20"/>
      <c r="C48" s="20"/>
      <c r="D48" s="20"/>
      <c r="E48" s="23"/>
      <c r="F48" s="32"/>
      <c r="G48" s="32"/>
      <c r="H48" s="32"/>
      <c r="I48" s="23"/>
      <c r="J48" s="23"/>
      <c r="K48" s="23"/>
      <c r="L48" s="23"/>
    </row>
    <row r="49" spans="1:12" x14ac:dyDescent="0.25">
      <c r="A49" s="23"/>
      <c r="B49" s="23"/>
      <c r="C49" s="20"/>
      <c r="D49" s="23"/>
      <c r="E49" s="23"/>
      <c r="F49" s="23"/>
      <c r="G49" s="23"/>
      <c r="H49" s="23"/>
      <c r="I49" s="23"/>
      <c r="J49" s="23"/>
      <c r="K49" s="23"/>
      <c r="L49" s="23"/>
    </row>
    <row r="53" spans="1:12" x14ac:dyDescent="0.25">
      <c r="B53" s="20"/>
      <c r="C53" s="20"/>
      <c r="D53" s="20"/>
      <c r="E53" s="23"/>
      <c r="F53" s="32"/>
      <c r="G53" s="32"/>
      <c r="H53" s="32"/>
      <c r="I53" s="23"/>
      <c r="J53" s="23"/>
      <c r="K53" s="23"/>
      <c r="L53" s="23"/>
    </row>
  </sheetData>
  <mergeCells count="2">
    <mergeCell ref="A1:I1"/>
    <mergeCell ref="A2:I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FY25</vt:lpstr>
      <vt:lpstr>REV PED 1</vt:lpstr>
      <vt:lpstr>REV PED 2</vt:lpstr>
      <vt:lpstr>REV PED 3</vt:lpstr>
      <vt:lpstr>REV PED 4</vt:lpstr>
      <vt:lpstr>REV PED 5</vt:lpstr>
      <vt:lpstr>REV PED 6</vt:lpstr>
      <vt:lpstr>REV PED 7</vt:lpstr>
      <vt:lpstr>REV PED 8</vt:lpstr>
      <vt:lpstr>REV PED 9</vt:lpstr>
      <vt:lpstr>REV PED 10</vt:lpstr>
    </vt:vector>
  </TitlesOfParts>
  <Company>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Pelham</dc:creator>
  <cp:lastModifiedBy>Patricia Olmstead</cp:lastModifiedBy>
  <cp:lastPrinted>2022-11-03T18:44:57Z</cp:lastPrinted>
  <dcterms:created xsi:type="dcterms:W3CDTF">2014-09-11T17:00:03Z</dcterms:created>
  <dcterms:modified xsi:type="dcterms:W3CDTF">2026-06-23T15:41:13Z</dcterms:modified>
</cp:coreProperties>
</file>